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hFPJlQIQ76VSMORSy6qzirm64Yo5X0XYFCU6fecegkB7dTi2RLkEAzesaIVHDSllPt3m6aeNlvzCR6nAgrDN5Q==" workbookSaltValue="dbC3pVo4tskwpAA9Ke5T0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U10" i="17" s="1"/>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V17" i="16" s="1"/>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X11" i="17" s="1"/>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F15" i="16" s="1"/>
  <c r="BL15" i="16" s="1"/>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BH9" i="16"/>
  <c r="BJ17" i="11"/>
  <c r="BG10" i="11"/>
  <c r="BM16" i="11"/>
  <c r="P17" i="17"/>
  <c r="BL17" i="11"/>
  <c r="BK12" i="11"/>
  <c r="BF10" i="11"/>
  <c r="BK9" i="11"/>
  <c r="S13" i="16"/>
  <c r="H18" i="16"/>
  <c r="BN18" i="16"/>
  <c r="P13" i="16"/>
  <c r="AM13" i="20"/>
  <c r="AN13" i="20"/>
  <c r="AT17" i="20"/>
  <c r="Z13" i="17"/>
  <c r="N13" i="2"/>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T13" i="20"/>
  <c r="BD9" i="8"/>
  <c r="L17" i="2"/>
  <c r="X15" i="16"/>
  <c r="X18" i="16" s="1"/>
  <c r="V10" i="16"/>
  <c r="T13" i="16"/>
  <c r="AP13" i="16"/>
  <c r="AA9" i="16"/>
  <c r="V9" i="16"/>
  <c r="BF15" i="13"/>
  <c r="BA18" i="13"/>
  <c r="G18" i="14"/>
  <c r="AO20" i="20"/>
  <c r="AN20" i="20"/>
  <c r="H20" i="20"/>
  <c r="AM20" i="20"/>
  <c r="E20" i="20"/>
  <c r="I20" i="20"/>
  <c r="K20" i="20"/>
  <c r="P20" i="20"/>
  <c r="N20" i="20"/>
  <c r="AQ20" i="20"/>
  <c r="U12" i="11"/>
  <c r="AK20" i="20"/>
  <c r="AQ20" i="21"/>
  <c r="AI20" i="20"/>
  <c r="AF20" i="20"/>
  <c r="AX20" i="20"/>
  <c r="AZ20" i="20"/>
  <c r="AG20" i="20"/>
  <c r="AC20" i="20"/>
  <c r="Q20" i="20"/>
  <c r="U10" i="11"/>
  <c r="Z20" i="20"/>
  <c r="AA20" i="20"/>
  <c r="M20" i="20"/>
  <c r="F20" i="20"/>
  <c r="O20" i="20"/>
  <c r="AU20" i="20"/>
  <c r="W20" i="21"/>
  <c r="X20" i="20"/>
  <c r="AH20" i="20"/>
  <c r="W20" i="20"/>
  <c r="L20" i="20"/>
  <c r="U16" i="11"/>
  <c r="AK19" i="8" l="1"/>
  <c r="F17" i="17"/>
  <c r="AQ17" i="17" s="1"/>
  <c r="AM19" i="8"/>
  <c r="AC19" i="8"/>
  <c r="AA19" i="8"/>
  <c r="AI19" i="8"/>
  <c r="D18" i="12"/>
  <c r="BG12" i="8"/>
  <c r="R19" i="8"/>
  <c r="T19" i="8"/>
  <c r="BG10" i="8"/>
  <c r="M13" i="2"/>
  <c r="H9" i="7"/>
  <c r="T17" i="11"/>
  <c r="L9" i="2"/>
  <c r="AA11" i="16"/>
  <c r="X10" i="21"/>
  <c r="L12" i="2"/>
  <c r="BL16" i="11"/>
  <c r="BJ16" i="11"/>
  <c r="AQ12" i="21"/>
  <c r="BH16" i="11"/>
  <c r="BF15" i="11"/>
  <c r="BM17" i="11"/>
  <c r="Q15" i="17"/>
  <c r="BH10" i="16"/>
  <c r="S10" i="17"/>
  <c r="T12" i="11"/>
  <c r="AQ10" i="21"/>
  <c r="BI9" i="11"/>
  <c r="BH10" i="11"/>
  <c r="Q17" i="17"/>
  <c r="BG12" i="11"/>
  <c r="AZ11" i="11"/>
  <c r="AZ12" i="11"/>
  <c r="AZ16" i="11"/>
  <c r="AA16" i="16"/>
  <c r="BU12" i="17"/>
  <c r="V12" i="16"/>
  <c r="BW10" i="20"/>
  <c r="BW11" i="20"/>
  <c r="BV11" i="16"/>
  <c r="BW12" i="20"/>
  <c r="BV12" i="16"/>
  <c r="BU10" i="17"/>
  <c r="BV17" i="16"/>
  <c r="BU11" i="17"/>
  <c r="T15" i="16"/>
  <c r="T17" i="16"/>
  <c r="BK17" i="11"/>
  <c r="R17" i="20"/>
  <c r="R18" i="20" s="1"/>
  <c r="BG15" i="11"/>
  <c r="AP15" i="20"/>
  <c r="BJ12" i="11"/>
  <c r="BJ15" i="11"/>
  <c r="BI15" i="11"/>
  <c r="S9" i="14"/>
  <c r="V9" i="14" s="1"/>
  <c r="Q10" i="21"/>
  <c r="BI10" i="11"/>
  <c r="V11" i="11"/>
  <c r="BK11" i="11"/>
  <c r="BL12" i="11"/>
  <c r="S17" i="16"/>
  <c r="BF16" i="11"/>
  <c r="BF17" i="11"/>
  <c r="V11" i="16"/>
  <c r="Q17" i="20"/>
  <c r="Q18" i="20" s="1"/>
  <c r="BH15" i="16"/>
  <c r="BH15" i="11"/>
  <c r="V15" i="11"/>
  <c r="AP16" i="20"/>
  <c r="BG9" i="8"/>
  <c r="BE9" i="8"/>
  <c r="BE12" i="8"/>
  <c r="AY13" i="13"/>
  <c r="F17" i="16"/>
  <c r="BL17" i="16" s="1"/>
  <c r="BG16" i="13"/>
  <c r="BD16" i="13"/>
  <c r="BE15" i="13"/>
  <c r="BE16" i="13"/>
  <c r="E12" i="6"/>
  <c r="S12" i="14"/>
  <c r="V12" i="14" s="1"/>
  <c r="S16" i="14"/>
  <c r="V16" i="14" s="1"/>
  <c r="R17" i="14"/>
  <c r="T11" i="11"/>
  <c r="S11" i="14"/>
  <c r="V11" i="14" s="1"/>
  <c r="X16" i="17"/>
  <c r="X10" i="17"/>
  <c r="X17" i="17"/>
  <c r="T17" i="20"/>
  <c r="X17" i="20"/>
  <c r="U10" i="21"/>
  <c r="V12" i="21"/>
  <c r="AA12" i="21"/>
  <c r="X16" i="20"/>
  <c r="L11" i="2"/>
  <c r="X9" i="16"/>
  <c r="X19" i="16" s="1"/>
  <c r="V15" i="20"/>
  <c r="V18" i="20" s="1"/>
  <c r="BH17" i="16"/>
  <c r="BL9" i="11"/>
  <c r="BH11" i="16"/>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J12" i="12" s="1"/>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I15" i="12" l="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O16" i="11"/>
  <c r="H20" i="17"/>
  <c r="AV20" i="20"/>
  <c r="AW20" i="11"/>
  <c r="AV20" i="21"/>
  <c r="U17" i="11"/>
  <c r="AB20" i="20"/>
  <c r="L19" i="11" l="1"/>
  <c r="AA19" i="1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Y20" i="16"/>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<sst xmlns="http://schemas.openxmlformats.org/spreadsheetml/2006/main" count="2094" uniqueCount="913">
  <si>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</si>
  <si>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</si>
  <si>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</si>
  <si>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</si>
  <si>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</si>
  <si>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</si>
  <si>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</si>
  <si>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</si>
  <si>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</si>
  <si>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</si>
  <si>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</si>
  <si>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</si>
  <si>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</si>
  <si>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</si>
  <si>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</si>
  <si>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</si>
  <si>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</si>
  <si>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</si>
  <si>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</si>
  <si>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</si>
  <si>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</si>
  <si>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</si>
  <si>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</si>
  <si>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</si>
  <si>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</si>
  <si>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</si>
  <si>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</si>
  <si>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</si>
  <si>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</si>
  <si>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</si>
  <si>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</si>
  <si>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</si>
  <si>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</si>
  <si>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</si>
  <si>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</si>
  <si>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</si>
  <si>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</si>
  <si>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</si>
  <si>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</si>
  <si>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</si>
  <si>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</si>
  <si>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</si>
  <si>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</si>
  <si>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</si>
  <si>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</si>
  <si>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</si>
  <si>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</si>
  <si>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</si>
  <si>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</si>
  <si>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</si>
  <si>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</si>
  <si>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</si>
  <si>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</si>
  <si>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</si>
  <si>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</si>
  <si>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</si>
  <si>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</si>
  <si>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</si>
  <si>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</si>
  <si>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</si>
  <si>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</si>
  <si>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</si>
  <si>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</si>
  <si>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</si>
  <si>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</si>
  <si>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</si>
  <si>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</si>
  <si>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</si>
  <si>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</si>
  <si>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</si>
  <si>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</si>
  <si>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</si>
  <si>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</si>
  <si>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</si>
  <si>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</si>
  <si>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</si>
  <si>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</si>
  <si>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</si>
  <si>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</si>
  <si>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</si>
  <si>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</si>
  <si>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</si>
  <si>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</si>
  <si>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</si>
  <si>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</si>
  <si>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</si>
  <si>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</si>
  <si>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</si>
  <si>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</si>
  <si>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</si>
  <si>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</si>
  <si>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</si>
  <si>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</si>
  <si>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</si>
  <si>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</si>
  <si>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</si>
  <si>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</si>
  <si>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</si>
  <si>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</si>
  <si>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</si>
  <si>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</si>
  <si>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</si>
  <si>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</si>
  <si>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</si>
  <si>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</si>
  <si>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</si>
  <si>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</si>
  <si>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</si>
  <si>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</si>
  <si>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</si>
  <si>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</si>
  <si>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</si>
  <si>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</si>
  <si>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</si>
  <si>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</si>
  <si>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</si>
  <si>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</si>
  <si>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</si>
  <si>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</si>
  <si>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</si>
  <si>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</si>
  <si>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</si>
  <si>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</si>
  <si>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</si>
  <si>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</si>
  <si>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</si>
  <si>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</si>
  <si>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</si>
  <si>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</si>
  <si>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</si>
  <si>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</si>
  <si>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</si>
  <si>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</si>
  <si>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</si>
  <si>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</si>
  <si>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</si>
  <si>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</si>
  <si>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</si>
  <si>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</si>
  <si>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</si>
  <si>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</si>
  <si>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</si>
  <si>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</si>
  <si>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</si>
  <si>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</si>
  <si>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</si>
  <si>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</si>
  <si>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</si>
  <si>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</si>
  <si>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</si>
  <si>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</si>
  <si>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</si>
  <si>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</si>
  <si>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</si>
  <si>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</si>
  <si>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</si>
  <si>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</si>
  <si>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</si>
  <si>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</si>
  <si>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</si>
  <si>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</si>
  <si>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</si>
  <si>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</si>
  <si>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</si>
  <si>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</si>
  <si>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</si>
  <si>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</si>
  <si>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</si>
  <si>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</si>
  <si>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</si>
  <si>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</si>
  <si>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</si>
  <si>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</si>
  <si>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</si>
  <si>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</si>
  <si>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</si>
  <si>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</si>
  <si>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</si>
  <si>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</si>
  <si>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</si>
  <si>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</si>
  <si>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</si>
  <si>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</si>
  <si>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</si>
  <si>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</si>
  <si>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</si>
  <si>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</si>
  <si>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</si>
  <si>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</si>
  <si>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</si>
  <si>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</si>
  <si>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</si>
  <si>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</si>
  <si>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</si>
  <si>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</si>
  <si>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</si>
  <si>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</si>
  <si>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</si>
  <si>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</si>
  <si>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</si>
  <si>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</si>
  <si>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</si>
  <si>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</si>
  <si>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</si>
  <si>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</si>
  <si>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</si>
  <si>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</si>
  <si>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</si>
  <si>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</si>
  <si>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</si>
  <si>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</si>
  <si>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</si>
  <si>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</si>
  <si>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</si>
  <si>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</si>
  <si>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</si>
  <si>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</si>
  <si>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</si>
  <si>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</si>
  <si>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</si>
  <si>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</si>
  <si>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</si>
  <si>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</si>
  <si>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</si>
  <si>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</si>
  <si>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</si>
  <si>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</si>
  <si>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</si>
  <si>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</si>
  <si>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</si>
  <si>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</si>
  <si>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</si>
  <si>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</si>
  <si>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</si>
  <si>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</si>
  <si>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</si>
  <si>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</si>
  <si>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</si>
  <si>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</si>
  <si>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</si>
  <si>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</si>
  <si>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</si>
  <si>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</si>
  <si>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</si>
  <si>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</si>
  <si>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</si>
  <si>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</si>
  <si>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</si>
  <si>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</si>
  <si>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</si>
  <si>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</si>
  <si>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</si>
  <si>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</si>
  <si>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</si>
  <si>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</si>
  <si>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</si>
  <si>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</si>
  <si>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</si>
  <si>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</si>
  <si>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</si>
  <si>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</si>
  <si>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</si>
  <si>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</si>
  <si>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</si>
  <si>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</si>
  <si>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</si>
  <si>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</si>
  <si>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</si>
  <si>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</si>
  <si>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</si>
  <si>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</si>
  <si>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</si>
  <si>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</si>
  <si>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</si>
  <si>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</si>
  <si>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</si>
  <si>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</si>
  <si>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</si>
  <si>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</si>
  <si>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</si>
  <si>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</si>
  <si>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</si>
  <si>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</si>
  <si>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</si>
  <si>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</si>
  <si>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</si>
  <si>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</si>
  <si>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</si>
  <si>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</si>
  <si>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</si>
  <si>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</si>
  <si>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</si>
  <si>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</si>
  <si>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</si>
  <si>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</si>
  <si>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</si>
  <si>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</si>
  <si>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</si>
  <si>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</si>
  <si>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</si>
  <si>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</si>
  <si>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</si>
  <si>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</si>
  <si>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</si>
  <si>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</si>
  <si>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</si>
  <si>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</si>
  <si>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</si>
  <si>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</si>
  <si>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</si>
  <si>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</si>
  <si>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</si>
  <si>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</si>
  <si>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</si>
  <si>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</si>
  <si>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</si>
  <si>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</si>
  <si>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</si>
  <si>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</si>
  <si>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</si>
  <si>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</si>
  <si>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</si>
  <si>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</si>
  <si>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</si>
  <si>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</si>
  <si>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</si>
  <si>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</si>
  <si>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</si>
  <si>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</si>
  <si>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</si>
  <si>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</si>
  <si>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</si>
  <si>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</si>
  <si>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</si>
  <si>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</si>
  <si>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</si>
  <si>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</si>
  <si>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</si>
  <si>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</si>
  <si>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</si>
  <si>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</si>
  <si>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</si>
  <si>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</si>
  <si>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</si>
  <si>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</si>
  <si>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</si>
  <si>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</si>
  <si>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</si>
  <si>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</si>
  <si>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</si>
  <si>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</si>
  <si>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</si>
  <si>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</si>
  <si>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</si>
  <si>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</si>
  <si>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</si>
  <si>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</si>
  <si>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</si>
  <si>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</si>
  <si>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</si>
  <si>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</si>
  <si>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</si>
  <si>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</si>
  <si>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</si>
  <si>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</si>
  <si>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</si>
  <si>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</si>
  <si>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</si>
  <si>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</si>
  <si>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</si>
  <si>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</si>
  <si>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</si>
  <si>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</si>
  <si>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</si>
  <si>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</si>
  <si>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</si>
  <si>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</si>
  <si>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</si>
  <si>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</si>
  <si>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</si>
  <si>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</si>
  <si>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</si>
  <si>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</si>
  <si>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</si>
  <si>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</si>
  <si>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</si>
  <si>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</si>
  <si>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</si>
  <si>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</si>
  <si>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</si>
  <si>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</si>
  <si>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</si>
  <si>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</si>
  <si>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</si>
  <si>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</si>
  <si>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</si>
  <si>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</si>
  <si>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</si>
  <si>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</si>
  <si>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</si>
  <si>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</si>
  <si>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</si>
  <si>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</si>
  <si>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</si>
  <si>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</si>
  <si>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</si>
  <si>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</si>
  <si>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</si>
  <si>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</si>
  <si>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</si>
  <si>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</si>
  <si>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</si>
  <si>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</si>
  <si>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</si>
  <si>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</si>
  <si>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</si>
  <si>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</si>
  <si>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</si>
  <si>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</si>
  <si>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</si>
  <si>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</si>
  <si>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</si>
  <si>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</si>
  <si>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</si>
  <si>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</si>
  <si>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</si>
  <si>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</si>
  <si>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</si>
  <si>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</si>
  <si>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</si>
  <si>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</si>
  <si>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</si>
  <si>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</si>
  <si>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</si>
  <si>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</si>
  <si>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</si>
  <si>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</si>
  <si>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</si>
  <si>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</si>
  <si>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</si>
  <si>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</si>
  <si>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</si>
  <si>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</si>
  <si>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</si>
  <si>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</si>
  <si>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</si>
  <si>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</si>
  <si>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</si>
  <si>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</si>
  <si>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</si>
  <si>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</si>
  <si>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</si>
  <si>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</si>
  <si>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</si>
  <si>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</si>
  <si>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</si>
  <si>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</si>
  <si>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</si>
  <si>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</si>
  <si>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</si>
  <si>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</si>
  <si>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</si>
  <si>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</si>
  <si>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</si>
  <si>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</si>
  <si>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</si>
  <si>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</si>
  <si>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</si>
  <si>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</si>
  <si>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</si>
  <si>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</si>
  <si>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</si>
  <si>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</si>
  <si>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</si>
  <si>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</si>
  <si>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</si>
  <si>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</si>
  <si>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</si>
  <si>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</si>
  <si>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</si>
  <si>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</si>
  <si>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</si>
  <si>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</si>
  <si>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</si>
  <si>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</si>
  <si>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</si>
  <si>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</si>
  <si>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</si>
  <si>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</si>
  <si>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</si>
  <si>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</si>
  <si>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</si>
  <si>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</si>
  <si>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</si>
  <si>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</si>
  <si>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</si>
  <si>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</si>
  <si>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</si>
  <si>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</si>
  <si>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</si>
  <si>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</si>
  <si>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</si>
  <si>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</si>
  <si>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</si>
  <si>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</si>
  <si>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</si>
  <si>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</si>
  <si>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</si>
  <si>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</si>
  <si>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</si>
  <si>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</si>
  <si>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</si>
  <si>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</si>
  <si>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</si>
  <si>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</si>
  <si>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</si>
  <si>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</si>
  <si>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</si>
  <si>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</si>
  <si>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</si>
  <si>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</si>
  <si>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</si>
  <si>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</si>
  <si>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</si>
  <si>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</si>
  <si>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</si>
  <si>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</si>
  <si>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</si>
  <si>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</si>
  <si>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</si>
  <si>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</si>
  <si>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</si>
  <si>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</si>
  <si>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</si>
  <si>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</si>
  <si>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</si>
  <si>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</si>
  <si>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</si>
  <si>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</si>
  <si>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</si>
  <si>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</si>
  <si>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</si>
  <si>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</si>
  <si>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</si>
  <si>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</si>
  <si>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</si>
  <si>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</si>
  <si>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</si>
  <si>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</si>
  <si>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</si>
  <si>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</si>
  <si>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</si>
  <si>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</si>
  <si>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</si>
  <si>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</si>
  <si>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</si>
  <si>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</si>
  <si>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</si>
  <si>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</si>
  <si>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</si>
  <si>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</si>
  <si>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</si>
  <si>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</si>
  <si>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</si>
  <si>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</si>
  <si>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</si>
  <si>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</si>
  <si>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</si>
  <si>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</si>
  <si>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</si>
  <si>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</si>
  <si>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</si>
  <si>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</si>
  <si>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</si>
  <si>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</si>
  <si>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</si>
  <si>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</si>
  <si>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</si>
  <si>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</si>
  <si>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</si>
  <si>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</si>
  <si>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</si>
  <si>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</si>
  <si>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</si>
  <si>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</si>
  <si>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</si>
  <si>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</si>
  <si>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</si>
  <si>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</si>
  <si>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</si>
  <si>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</si>
  <si>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</si>
  <si>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</si>
  <si>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</si>
  <si>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</si>
  <si>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</si>
  <si>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</si>
  <si>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</si>
  <si>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</si>
  <si>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</si>
  <si>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</si>
  <si>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</si>
  <si>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</si>
  <si>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</si>
  <si>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</si>
  <si>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</si>
  <si>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</si>
  <si>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</si>
  <si>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</si>
  <si>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</si>
  <si>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</si>
  <si>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</si>
  <si>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</si>
  <si>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</si>
  <si>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</si>
  <si>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</si>
  <si>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</si>
  <si>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</si>
  <si>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</si>
  <si>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</si>
  <si>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</si>
  <si>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</si>
  <si>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</si>
  <si>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</si>
  <si>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</si>
  <si>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</si>
  <si>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</si>
  <si>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</si>
  <si>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</si>
  <si>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</si>
  <si>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</si>
  <si>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</si>
  <si>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</si>
  <si>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</si>
  <si>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</si>
  <si>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</si>
  <si>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</si>
  <si>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</si>
  <si>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</si>
  <si>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</si>
  <si>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</si>
  <si>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</si>
  <si>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</si>
  <si>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</si>
  <si>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</si>
  <si>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</si>
  <si>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</si>
  <si>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</si>
  <si>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</si>
  <si>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</si>
  <si>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</si>
  <si>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</si>
  <si>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</si>
  <si>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</si>
  <si>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</si>
  <si>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</si>
  <si>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</si>
  <si>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</si>
  <si>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</si>
  <si>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</si>
  <si>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</si>
  <si>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</si>
  <si>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</si>
  <si>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</si>
  <si>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</si>
  <si>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</si>
  <si>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</si>
  <si>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</si>
  <si>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</si>
  <si>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</si>
  <si>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</si>
  <si>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</si>
  <si>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</si>
  <si>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</si>
  <si>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</si>
  <si>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</si>
  <si>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</si>
  <si>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</si>
  <si>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</si>
  <si>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</si>
  <si>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</si>
  <si>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</si>
  <si>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</si>
  <si>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</si>
  <si>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</si>
  <si>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</si>
  <si>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</si>
  <si>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</si>
  <si>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</si>
  <si>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</si>
  <si>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</si>
  <si>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</si>
  <si>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</si>
  <si>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</si>
  <si>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</si>
  <si>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</si>
  <si>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</si>
  <si>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</si>
  <si>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</si>
  <si>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</si>
  <si>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</si>
  <si>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</si>
  <si>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</si>
  <si>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</si>
  <si>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</si>
  <si>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</si>
  <si>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</si>
  <si>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</si>
  <si>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</si>
  <si>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</si>
  <si>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</si>
  <si>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</si>
  <si>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</si>
  <si>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</si>
  <si>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</si>
  <si>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</si>
  <si>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</si>
  <si>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</si>
  <si>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</si>
  <si>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</si>
  <si>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</si>
  <si>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</si>
  <si>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</si>
  <si>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</si>
  <si>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</si>
  <si>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</si>
  <si>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</si>
  <si>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</si>
  <si>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</si>
  <si>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</si>
  <si>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</si>
  <si>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</si>
  <si>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</si>
  <si>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</si>
  <si>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</si>
  <si>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</si>
  <si>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</si>
  <si>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</si>
  <si>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</si>
  <si>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</si>
  <si>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</si>
  <si>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</si>
  <si>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</si>
  <si>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</si>
  <si>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</si>
  <si>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</si>
  <si>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</si>
  <si>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</si>
  <si>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</si>
  <si>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</si>
  <si>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</si>
  <si>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</si>
  <si>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</si>
  <si>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</si>
  <si>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</si>
  <si>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</si>
  <si>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</si>
  <si>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</si>
  <si>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</si>
  <si>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</si>
  <si>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</si>
  <si>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</si>
  <si>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</si>
  <si>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</si>
  <si>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</si>
  <si>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</si>
  <si>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</si>
  <si>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</si>
  <si>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</si>
  <si>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</si>
  <si>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</si>
  <si>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</si>
  <si>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</si>
  <si>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</si>
  <si>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</si>
  <si>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</si>
  <si>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</si>
  <si>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</si>
  <si>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</si>
  <si>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</si>
  <si>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</si>
  <si>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</si>
  <si>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</si>
  <si>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</si>
  <si>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</si>
  <si>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</si>
  <si>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</si>
  <si>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</si>
  <si>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</si>
  <si>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</si>
  <si>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</si>
  <si>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</si>
  <si>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</si>
  <si>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</si>
  <si>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</si>
  <si>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</si>
  <si>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</si>
  <si>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</si>
  <si>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</si>
  <si>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</si>
  <si>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</si>
  <si>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</si>
  <si>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</si>
  <si>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</si>
  <si>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</si>
  <si>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</si>
  <si>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</si>
  <si>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</si>
  <si>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</si>
  <si>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</si>
  <si>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</si>
  <si>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</si>
  <si>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</si>
  <si>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</si>
  <si>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</si>
  <si>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</si>
  <si>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</si>
  <si>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</si>
  <si>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</si>
  <si>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</si>
  <si>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</si>
  <si>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</si>
  <si>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</si>
  <si>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</si>
  <si>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</si>
  <si>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</si>
  <si>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</si>
  <si>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</si>
  <si>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</si>
  <si>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</si>
  <si>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</si>
  <si>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</si>
  <si>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</si>
  <si>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</si>
  <si>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</si>
  <si>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</si>
  <si>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</si>
  <si>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</si>
  <si>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</si>
  <si>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</si>
  <si>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</si>
  <si>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</si>
  <si>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</si>
  <si>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</si>
  <si>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</si>
  <si>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</si>
  <si>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</si>
  <si>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</si>
  <si>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</si>
  <si>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</si>
  <si>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</si>
  <si>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</si>
  <si>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</si>
  <si>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</si>
  <si>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</si>
  <si>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</si>
  <si>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</si>
  <si>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</si>
  <si>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</si>
  <si>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</si>
  <si>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</si>
  <si>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</si>
  <si>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</si>
  <si>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</si>
  <si>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</si>
  <si>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</si>
  <si>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</si>
  <si>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</si>
  <si>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</si>
  <si>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</si>
  <si>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</si>
  <si>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</si>
  <si>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</si>
  <si>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</si>
  <si>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</si>
  <si>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</si>
  <si>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</si>
  <si>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</si>
  <si>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</si>
  <si>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</si>
  <si>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</si>
  <si>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</si>
  <si>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</si>
  <si>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</si>
  <si>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</si>
  <si>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</si>
  <si>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</si>
  <si>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</si>
  <si>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</si>
  <si>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</si>
  <si>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</si>
  <si>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</si>
  <si>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</si>
  <si>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</si>
  <si>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</si>
  <si>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</si>
  <si>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</si>
  <si>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</si>
  <si>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</si>
  <si>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</si>
  <si>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</si>
  <si>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</si>
  <si>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</si>
  <si>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</si>
  <si>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</si>
  <si>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</si>
  <si>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</si>
  <si>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</si>
  <si>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ARAGON</t>
  </si>
  <si>
    <t>Provincias</t>
  </si>
  <si>
    <t>ZARAGOZA</t>
  </si>
  <si>
    <t>Resumenes por Partidos Judiciales</t>
  </si>
  <si>
    <t>EJEA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</si>
</sst>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WRjkksFtEbomty4lzrPhrDD9HY4Otv6Mcj8b5soUFZ1ApwJz8+CWqlVyi+pIXbYoi4Cqr/maNzyiCDyJT1ewlw==" saltValue="CX9+ACTvY7ya4cjWUV2w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ARAGON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22.363363363363362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619</v>
      </c>
      <c r="D16" s="228">
        <f>IF(ISNUMBER(IF(D_I="SI",Datos!I16,Datos!I16+Datos!AC16)),IF(D_I="SI",Datos!I16,Datos!I16+Datos!AC16)," - ")</f>
        <v>619</v>
      </c>
      <c r="E16" s="229">
        <f>IF(ISNUMBER(IF(D_I="SI",Datos!J16,Datos!J16+Datos!AD16)),IF(D_I="SI",Datos!J16,Datos!J16+Datos!AD16)," - ")</f>
        <v>396</v>
      </c>
      <c r="F16" s="229">
        <f>IF(ISNUMBER(IF(D_I="SI",Datos!K16,Datos!K16+Datos!AE16)),IF(D_I="SI",Datos!K16,Datos!K16+Datos!AE16)," - ")</f>
        <v>311</v>
      </c>
      <c r="G16" s="1037" t="str">
        <f>IF(Datos!E16&lt;&gt;"",Datos!E16,Datos!D16)</f>
        <v>04</v>
      </c>
      <c r="H16" s="230">
        <f>IF(ISNUMBER(IF(D_I="SI",Datos!L16,Datos!L16+Datos!AF16)),IF(D_I="SI",Datos!L16,Datos!L16+Datos!AF16)," - ")</f>
        <v>704</v>
      </c>
      <c r="I16" s="1047" t="str">
        <f>IF(ISNUMBER(Datos!AS16/Datos!BM16),Datos!AS16/Datos!BM16," - ")</f>
        <v xml:space="preserve"> - </v>
      </c>
      <c r="J16" s="1048">
        <f>IF(ISNUMBER(Datos!BY16/Datos!CN16),Datos!BY16/Datos!CN16," - ")</f>
        <v>0</v>
      </c>
      <c r="K16" s="233">
        <f t="shared" si="3"/>
        <v>0.13731825525040386</v>
      </c>
      <c r="L16" s="1028">
        <f>IF(ISNUMBER(NºAsuntos!I16/NºAsuntos!G16),(NºAsuntos!I16/NºAsuntos!G16)*11," - ")</f>
        <v>24.90032154340836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38</v>
      </c>
      <c r="D17" s="228">
        <f>IF(ISNUMBER(IF(D_I="SI",Datos!I17,Datos!I17+Datos!AC17)),IF(D_I="SI",Datos!I17,Datos!I17+Datos!AC17)," - ")</f>
        <v>38</v>
      </c>
      <c r="E17" s="229">
        <f>IF(ISNUMBER(IF(D_I="SI",Datos!J17,Datos!J17+Datos!AD17)),IF(D_I="SI",Datos!J17,Datos!J17+Datos!AD17)," - ")</f>
        <v>13</v>
      </c>
      <c r="F17" s="229">
        <f>IF(ISNUMBER(IF(D_I="SI",Datos!K17,Datos!K17+Datos!AE17)),IF(D_I="SI",Datos!K17,Datos!K17+Datos!AE17)," - ")</f>
        <v>19</v>
      </c>
      <c r="G17" s="1037" t="str">
        <f>IF(Datos!E17&lt;&gt;"",Datos!E17,Datos!D17)</f>
        <v>37</v>
      </c>
      <c r="H17" s="230">
        <f>IF(ISNUMBER(IF(D_I="SI",Datos!L17,Datos!L17+Datos!AF17)),IF(D_I="SI",Datos!L17,Datos!L17+Datos!AF17)," - ")</f>
        <v>32</v>
      </c>
      <c r="I17" s="1047" t="str">
        <f>IF(ISNUMBER(Datos!AS17/Datos!BM17),Datos!AS17/Datos!BM17," - ")</f>
        <v xml:space="preserve"> - </v>
      </c>
      <c r="J17" s="1048" t="str">
        <f>IF(ISNUMBER((Datos!BY17+Datos!BZ17)/Datos!CN17),(Datos!BY17+Datos!BZ17)/Datos!CN17," - ")</f>
        <v xml:space="preserve"> - </v>
      </c>
      <c r="K17" s="233">
        <f t="shared" si="3"/>
        <v>-0.15789473684210525</v>
      </c>
      <c r="L17" s="1028">
        <f>IF(ISNUMBER(NºAsuntos!I17/NºAsuntos!G17),(NºAsuntos!I17/NºAsuntos!G17)*11," - ")</f>
        <v>18.526315789473685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657</v>
      </c>
      <c r="D18" s="1052">
        <f>SUBTOTAL(9,D15:D17)</f>
        <v>657</v>
      </c>
      <c r="E18" s="1053">
        <f>SUBTOTAL(9,E15:E17)</f>
        <v>409</v>
      </c>
      <c r="F18" s="1053">
        <f>SUBTOTAL(9,F15:F17)</f>
        <v>330</v>
      </c>
      <c r="G18" s="1055" t="str">
        <f ca="1">INDIRECT(CONCATENATE("G",ROW()-1))</f>
        <v>37</v>
      </c>
      <c r="H18" s="1056">
        <f ca="1">SUMIF(G$14:G17,G18,H$14:H17)</f>
        <v>32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657</v>
      </c>
      <c r="D19" s="1074">
        <f>SUBTOTAL(9,D9:D18)</f>
        <v>657</v>
      </c>
      <c r="E19" s="1075">
        <f>SUBTOTAL(9,E9:E18)</f>
        <v>409</v>
      </c>
      <c r="F19" s="1075">
        <f>SUBTOTAL(9,F9:F18)</f>
        <v>330</v>
      </c>
      <c r="G19" s="1076"/>
      <c r="H19" s="1077">
        <f ca="1">SUMIF(B9:B18,"TOTAL",H9:H18)</f>
        <v>32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ACIUnFm4lIlh9L+KpodOF1JbWndQXWEztL6pTBez9kzm6kQwp8o1mhwqh2Z9IHU0nzdMBQeYTguw/yzFx38nhw==" saltValue="F1iSav+9+oJrJia17SBDY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zyUwEnyMsshptWOeVtKrUizLrjgHz6kVOSX44BviGwJk1+kbXkBp421ZvVW/4ZyzRaDmszDKtUrrqy84yulWkw==" saltValue="KlAwI4a3Wl3mhtLFk/X2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626</v>
      </c>
      <c r="J12" s="186">
        <v>308</v>
      </c>
      <c r="K12" s="186">
        <v>326</v>
      </c>
      <c r="L12" s="186">
        <v>608</v>
      </c>
      <c r="M12" s="186">
        <v>62</v>
      </c>
      <c r="N12" s="186">
        <v>93</v>
      </c>
      <c r="O12" s="184">
        <v>158</v>
      </c>
      <c r="P12" s="186">
        <v>99</v>
      </c>
      <c r="Q12" s="186">
        <v>120</v>
      </c>
      <c r="R12" s="186">
        <v>1457</v>
      </c>
      <c r="S12" s="186">
        <v>357</v>
      </c>
      <c r="T12" s="186">
        <v>306</v>
      </c>
      <c r="U12" s="186">
        <v>228</v>
      </c>
      <c r="V12" s="186">
        <v>435</v>
      </c>
      <c r="W12" s="186">
        <v>66</v>
      </c>
      <c r="X12" s="192">
        <v>94</v>
      </c>
      <c r="Y12" s="194">
        <v>63</v>
      </c>
      <c r="Z12" s="184">
        <v>13</v>
      </c>
      <c r="AA12" s="184">
        <v>7</v>
      </c>
      <c r="AB12" s="184">
        <v>69</v>
      </c>
      <c r="AC12" s="186">
        <v>0</v>
      </c>
      <c r="AD12" s="186">
        <v>0</v>
      </c>
      <c r="AE12" s="186">
        <v>0</v>
      </c>
      <c r="AF12" s="192">
        <v>0</v>
      </c>
      <c r="AG12" s="205">
        <v>70</v>
      </c>
      <c r="AH12" s="186">
        <v>14</v>
      </c>
      <c r="AI12" s="186">
        <v>26</v>
      </c>
      <c r="AJ12" s="206">
        <v>58</v>
      </c>
      <c r="AK12" s="185">
        <v>0</v>
      </c>
      <c r="AL12" s="186">
        <v>0</v>
      </c>
      <c r="AM12" s="186">
        <v>0</v>
      </c>
      <c r="AN12" s="192">
        <v>0</v>
      </c>
      <c r="AO12" s="262">
        <v>2</v>
      </c>
      <c r="AP12" s="158">
        <v>2</v>
      </c>
      <c r="AQ12" s="158">
        <v>2</v>
      </c>
      <c r="AR12" s="157">
        <v>2</v>
      </c>
      <c r="AS12" s="343" t="s">
        <v>807</v>
      </c>
      <c r="AT12" s="206"/>
      <c r="AU12" s="205"/>
      <c r="AV12" s="206"/>
      <c r="AW12" s="205"/>
      <c r="AX12" s="206"/>
      <c r="AY12" s="126">
        <f t="shared" si="1"/>
        <v>427</v>
      </c>
      <c r="AZ12" s="127">
        <f t="shared" si="1"/>
        <v>320</v>
      </c>
      <c r="BA12" s="127">
        <f t="shared" si="1"/>
        <v>254</v>
      </c>
      <c r="BB12" s="127">
        <f t="shared" si="1"/>
        <v>493</v>
      </c>
      <c r="BC12" s="125">
        <f>IF(ISNUMBER(X12),X12," - ")</f>
        <v>94</v>
      </c>
      <c r="BD12" s="126">
        <f t="shared" si="2"/>
        <v>0.79374999999999996</v>
      </c>
      <c r="BE12" s="127">
        <f t="shared" si="3"/>
        <v>1.9409448818897639</v>
      </c>
      <c r="BF12" s="127">
        <f t="shared" si="4"/>
        <v>0.37007874015748032</v>
      </c>
      <c r="BG12" s="199">
        <f t="shared" si="5"/>
        <v>2.9409448818897639</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626</v>
      </c>
      <c r="J13" s="187">
        <f t="shared" si="6"/>
        <v>308</v>
      </c>
      <c r="K13" s="187">
        <f t="shared" si="6"/>
        <v>326</v>
      </c>
      <c r="L13" s="187">
        <f t="shared" si="6"/>
        <v>608</v>
      </c>
      <c r="M13" s="187">
        <f t="shared" si="6"/>
        <v>62</v>
      </c>
      <c r="N13" s="187">
        <f t="shared" si="6"/>
        <v>93</v>
      </c>
      <c r="O13" s="187">
        <f t="shared" si="6"/>
        <v>158</v>
      </c>
      <c r="P13" s="187">
        <f t="shared" si="6"/>
        <v>99</v>
      </c>
      <c r="Q13" s="187">
        <f t="shared" si="6"/>
        <v>120</v>
      </c>
      <c r="R13" s="187">
        <f t="shared" si="6"/>
        <v>1457</v>
      </c>
      <c r="S13" s="187">
        <f t="shared" si="6"/>
        <v>357</v>
      </c>
      <c r="T13" s="187">
        <f t="shared" si="6"/>
        <v>306</v>
      </c>
      <c r="U13" s="187">
        <f t="shared" si="6"/>
        <v>228</v>
      </c>
      <c r="V13" s="187">
        <f t="shared" si="6"/>
        <v>435</v>
      </c>
      <c r="W13" s="187">
        <f t="shared" si="6"/>
        <v>66</v>
      </c>
      <c r="X13" s="187">
        <f t="shared" si="6"/>
        <v>94</v>
      </c>
      <c r="Y13" s="187">
        <f t="shared" si="6"/>
        <v>63</v>
      </c>
      <c r="Z13" s="187">
        <f t="shared" si="6"/>
        <v>13</v>
      </c>
      <c r="AA13" s="187">
        <f t="shared" si="6"/>
        <v>7</v>
      </c>
      <c r="AB13" s="187">
        <f t="shared" si="6"/>
        <v>69</v>
      </c>
      <c r="AC13" s="187">
        <f t="shared" si="6"/>
        <v>0</v>
      </c>
      <c r="AD13" s="187">
        <f t="shared" si="6"/>
        <v>0</v>
      </c>
      <c r="AE13" s="187">
        <f t="shared" si="6"/>
        <v>0</v>
      </c>
      <c r="AF13" s="187">
        <f>SUBTOTAL(9,AF9:AF12)</f>
        <v>0</v>
      </c>
      <c r="AG13" s="187">
        <f t="shared" ref="AG13:AT13" si="7">SUBTOTAL(9,AG8:AG12)</f>
        <v>70</v>
      </c>
      <c r="AH13" s="187">
        <f t="shared" si="7"/>
        <v>14</v>
      </c>
      <c r="AI13" s="187">
        <f t="shared" si="7"/>
        <v>26</v>
      </c>
      <c r="AJ13" s="187">
        <f t="shared" si="7"/>
        <v>58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427</v>
      </c>
      <c r="AZ13" s="187">
        <f>SUBTOTAL(9,AZ8:AZ12)</f>
        <v>320</v>
      </c>
      <c r="BA13" s="187">
        <f>SUBTOTAL(9,BA8:BA12)</f>
        <v>254</v>
      </c>
      <c r="BB13" s="187">
        <f>SUBTOTAL(9,BB8:BB12)</f>
        <v>493</v>
      </c>
      <c r="BC13" s="187">
        <f>SUBTOTAL(9,BC8:BC12)</f>
        <v>94</v>
      </c>
      <c r="BD13" s="208">
        <f>IF(ISNUMBER(BA13/AZ13),BA13/AZ13," - ")</f>
        <v>0.79374999999999996</v>
      </c>
      <c r="BE13" s="209">
        <f>IF(ISNUMBER(BB13/BA13),BB13/BA13, " - ")</f>
        <v>1.9409448818897639</v>
      </c>
      <c r="BF13" s="209">
        <f>IF(ISNUMBER(BC13/BA13),BC13/BA13, " - ")</f>
        <v>0.37007874015748032</v>
      </c>
      <c r="BG13" s="210">
        <f>IF(ISNUMBER((AY13+AZ13)/BA13),(AY13+AZ13)/BA13," - ")</f>
        <v>2.9409448818897639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619</v>
      </c>
      <c r="J16" s="186">
        <v>396</v>
      </c>
      <c r="K16" s="186">
        <v>311</v>
      </c>
      <c r="L16" s="186">
        <v>704</v>
      </c>
      <c r="M16" s="186">
        <v>36</v>
      </c>
      <c r="N16" s="186">
        <v>160</v>
      </c>
      <c r="O16" s="184">
        <v>2</v>
      </c>
      <c r="P16" s="186">
        <v>9</v>
      </c>
      <c r="Q16" s="186">
        <v>3</v>
      </c>
      <c r="R16" s="186">
        <v>86</v>
      </c>
      <c r="S16" s="186">
        <v>206</v>
      </c>
      <c r="T16" s="186">
        <v>359</v>
      </c>
      <c r="U16" s="186">
        <v>326</v>
      </c>
      <c r="V16" s="186">
        <v>244</v>
      </c>
      <c r="W16" s="186">
        <v>44</v>
      </c>
      <c r="X16" s="192">
        <v>192</v>
      </c>
      <c r="Y16" s="205">
        <v>0</v>
      </c>
      <c r="Z16" s="186">
        <v>0</v>
      </c>
      <c r="AA16" s="186">
        <v>0</v>
      </c>
      <c r="AB16" s="186">
        <v>0</v>
      </c>
      <c r="AC16" s="186">
        <v>10</v>
      </c>
      <c r="AD16" s="186">
        <v>6</v>
      </c>
      <c r="AE16" s="186">
        <v>9</v>
      </c>
      <c r="AF16" s="192">
        <v>7</v>
      </c>
      <c r="AG16" s="205">
        <v>0</v>
      </c>
      <c r="AH16" s="186">
        <v>0</v>
      </c>
      <c r="AI16" s="186">
        <v>0</v>
      </c>
      <c r="AJ16" s="206">
        <v>0</v>
      </c>
      <c r="AK16" s="185">
        <v>19</v>
      </c>
      <c r="AL16" s="186">
        <v>3</v>
      </c>
      <c r="AM16" s="186">
        <v>5</v>
      </c>
      <c r="AN16" s="192">
        <v>17</v>
      </c>
      <c r="AO16" s="262">
        <v>2</v>
      </c>
      <c r="AP16" s="158">
        <v>2</v>
      </c>
      <c r="AQ16" s="158">
        <v>2</v>
      </c>
      <c r="AR16" s="158">
        <v>2</v>
      </c>
      <c r="AS16" s="343" t="s">
        <v>491</v>
      </c>
      <c r="AT16" s="206"/>
      <c r="AU16" s="205"/>
      <c r="AV16" s="206"/>
      <c r="AW16" s="205"/>
      <c r="AX16" s="206"/>
      <c r="AY16" s="126">
        <f t="shared" si="9"/>
        <v>206</v>
      </c>
      <c r="AZ16" s="127">
        <f t="shared" si="9"/>
        <v>359</v>
      </c>
      <c r="BA16" s="127">
        <f t="shared" si="9"/>
        <v>326</v>
      </c>
      <c r="BB16" s="127">
        <f t="shared" si="9"/>
        <v>244</v>
      </c>
      <c r="BC16" s="125">
        <f>IF(ISNUMBER(W16),W16," - ")</f>
        <v>44</v>
      </c>
      <c r="BD16" s="126">
        <f t="shared" ref="BD16" si="11">IF(ISNUMBER(BA16/AZ16),BA16/AZ16," - ")</f>
        <v>0.9080779944289693</v>
      </c>
      <c r="BE16" s="127">
        <f t="shared" ref="BE16" si="12">IF(ISNUMBER(BB16/BA16),BB16/BA16, " - ")</f>
        <v>0.74846625766871167</v>
      </c>
      <c r="BF16" s="127">
        <f t="shared" ref="BF16" si="13">IF(ISNUMBER(BC16/BA16),BC16/BA16, " - ")</f>
        <v>0.13496932515337423</v>
      </c>
      <c r="BG16" s="199">
        <f t="shared" si="10"/>
        <v>1.7331288343558282</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38</v>
      </c>
      <c r="J17" s="186">
        <v>13</v>
      </c>
      <c r="K17" s="186">
        <v>19</v>
      </c>
      <c r="L17" s="186">
        <v>32</v>
      </c>
      <c r="M17" s="186">
        <v>1</v>
      </c>
      <c r="N17" s="186">
        <v>15</v>
      </c>
      <c r="O17" s="186">
        <v>0</v>
      </c>
      <c r="P17" s="186">
        <v>0</v>
      </c>
      <c r="Q17" s="186">
        <v>0</v>
      </c>
      <c r="R17" s="186">
        <v>0</v>
      </c>
      <c r="S17" s="186">
        <v>5</v>
      </c>
      <c r="T17" s="186">
        <v>17</v>
      </c>
      <c r="U17" s="186">
        <v>17</v>
      </c>
      <c r="V17" s="186">
        <v>5</v>
      </c>
      <c r="W17" s="186">
        <v>0</v>
      </c>
      <c r="X17" s="192">
        <v>23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v>
      </c>
      <c r="AZ17" s="129">
        <f t="shared" si="14"/>
        <v>17</v>
      </c>
      <c r="BA17" s="129">
        <f t="shared" si="14"/>
        <v>17</v>
      </c>
      <c r="BB17" s="129">
        <f t="shared" si="14"/>
        <v>5</v>
      </c>
      <c r="BC17" s="125">
        <f>IF(ISNUMBER(W17),W17," - ")</f>
        <v>0</v>
      </c>
      <c r="BD17" s="126">
        <f>IF(ISNUMBER(BA17/AZ17),BA17/AZ17," - ")</f>
        <v>1</v>
      </c>
      <c r="BE17" s="127">
        <f>IF(ISNUMBER(BB17/BA17),BB17/BA17, " - ")</f>
        <v>0.29411764705882354</v>
      </c>
      <c r="BF17" s="127">
        <f>IF(ISNUMBER(BC17/BA17),BC17/BA17, " - ")</f>
        <v>0</v>
      </c>
      <c r="BG17" s="199">
        <f>IF(ISNUMBER((AY17+AZ17)/BA17),(AY17+AZ17)/BA17," - ")</f>
        <v>1.2941176470588236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657</v>
      </c>
      <c r="J18" s="187">
        <f t="shared" si="15"/>
        <v>409</v>
      </c>
      <c r="K18" s="187">
        <f t="shared" si="15"/>
        <v>330</v>
      </c>
      <c r="L18" s="187">
        <f t="shared" si="15"/>
        <v>736</v>
      </c>
      <c r="M18" s="187">
        <f t="shared" si="15"/>
        <v>37</v>
      </c>
      <c r="N18" s="187">
        <f t="shared" si="15"/>
        <v>175</v>
      </c>
      <c r="O18" s="187">
        <f t="shared" si="15"/>
        <v>2</v>
      </c>
      <c r="P18" s="187">
        <f t="shared" si="15"/>
        <v>9</v>
      </c>
      <c r="Q18" s="187">
        <f t="shared" si="15"/>
        <v>3</v>
      </c>
      <c r="R18" s="187">
        <f t="shared" si="15"/>
        <v>86</v>
      </c>
      <c r="S18" s="187">
        <f t="shared" si="15"/>
        <v>211</v>
      </c>
      <c r="T18" s="187">
        <f t="shared" si="15"/>
        <v>376</v>
      </c>
      <c r="U18" s="187">
        <f t="shared" si="15"/>
        <v>343</v>
      </c>
      <c r="V18" s="187">
        <f t="shared" si="15"/>
        <v>249</v>
      </c>
      <c r="W18" s="187">
        <f t="shared" si="15"/>
        <v>44</v>
      </c>
      <c r="X18" s="187">
        <f t="shared" si="15"/>
        <v>215</v>
      </c>
      <c r="Y18" s="187">
        <f t="shared" si="15"/>
        <v>0</v>
      </c>
      <c r="Z18" s="187">
        <f t="shared" si="15"/>
        <v>0</v>
      </c>
      <c r="AA18" s="187">
        <f t="shared" si="15"/>
        <v>0</v>
      </c>
      <c r="AB18" s="187">
        <f t="shared" si="15"/>
        <v>0</v>
      </c>
      <c r="AC18" s="187">
        <f t="shared" si="15"/>
        <v>10</v>
      </c>
      <c r="AD18" s="187">
        <f t="shared" si="15"/>
        <v>6</v>
      </c>
      <c r="AE18" s="187">
        <f t="shared" si="15"/>
        <v>9</v>
      </c>
      <c r="AF18" s="187">
        <f t="shared" si="15"/>
        <v>7</v>
      </c>
      <c r="AG18" s="187">
        <f t="shared" si="15"/>
        <v>0</v>
      </c>
      <c r="AH18" s="187">
        <f t="shared" si="15"/>
        <v>0</v>
      </c>
      <c r="AI18" s="187">
        <f t="shared" si="15"/>
        <v>0</v>
      </c>
      <c r="AJ18" s="187">
        <f t="shared" si="15"/>
        <v>0</v>
      </c>
      <c r="AK18" s="187">
        <f t="shared" si="15"/>
        <v>19</v>
      </c>
      <c r="AL18" s="187">
        <f t="shared" si="15"/>
        <v>3</v>
      </c>
      <c r="AM18" s="187">
        <f t="shared" si="15"/>
        <v>5</v>
      </c>
      <c r="AN18" s="187">
        <f t="shared" si="15"/>
        <v>17</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211</v>
      </c>
      <c r="AZ18" s="187">
        <f>SUBTOTAL(9,AZ14:AZ17)</f>
        <v>376</v>
      </c>
      <c r="BA18" s="187">
        <f>SUBTOTAL(9,BA14:BA17)</f>
        <v>343</v>
      </c>
      <c r="BB18" s="187">
        <f>SUBTOTAL(9,BB14:BB17)</f>
        <v>249</v>
      </c>
      <c r="BC18" s="187">
        <f>SUBTOTAL(9,BC14:BC17)</f>
        <v>44</v>
      </c>
      <c r="BD18" s="208">
        <f>IF(ISNUMBER(BA18/AZ18),BA18/AZ18," - ")</f>
        <v>0.91223404255319152</v>
      </c>
      <c r="BE18" s="209">
        <f>IF(ISNUMBER(BB18/BA18),BB18/BA18, " - ")</f>
        <v>0.72594752186588918</v>
      </c>
      <c r="BF18" s="209">
        <f>IF(ISNUMBER(BC18/BA18),BC18/BA18, " - ")</f>
        <v>0.1282798833819242</v>
      </c>
      <c r="BG18" s="210">
        <f>IF(ISNUMBER((AY18+AZ18)/BA18),(AY18+AZ18)/BA18," - ")</f>
        <v>1.7113702623906706</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1283</v>
      </c>
      <c r="J19" s="134">
        <f t="shared" si="18"/>
        <v>717</v>
      </c>
      <c r="K19" s="134">
        <f t="shared" si="18"/>
        <v>656</v>
      </c>
      <c r="L19" s="134">
        <f t="shared" si="18"/>
        <v>1344</v>
      </c>
      <c r="M19" s="134">
        <f t="shared" si="18"/>
        <v>99</v>
      </c>
      <c r="N19" s="134">
        <f t="shared" si="18"/>
        <v>268</v>
      </c>
      <c r="O19" s="134">
        <f t="shared" si="18"/>
        <v>160</v>
      </c>
      <c r="P19" s="134">
        <f t="shared" si="18"/>
        <v>108</v>
      </c>
      <c r="Q19" s="134">
        <f t="shared" si="18"/>
        <v>123</v>
      </c>
      <c r="R19" s="134">
        <f t="shared" si="18"/>
        <v>1543</v>
      </c>
      <c r="S19" s="134">
        <f t="shared" si="18"/>
        <v>568</v>
      </c>
      <c r="T19" s="134">
        <f t="shared" si="18"/>
        <v>682</v>
      </c>
      <c r="U19" s="134">
        <f t="shared" si="18"/>
        <v>571</v>
      </c>
      <c r="V19" s="134">
        <f t="shared" si="18"/>
        <v>684</v>
      </c>
      <c r="W19" s="134">
        <f t="shared" si="18"/>
        <v>110</v>
      </c>
      <c r="X19" s="134">
        <f t="shared" si="18"/>
        <v>309</v>
      </c>
      <c r="Y19" s="134">
        <f t="shared" si="18"/>
        <v>63</v>
      </c>
      <c r="Z19" s="134">
        <f t="shared" si="18"/>
        <v>13</v>
      </c>
      <c r="AA19" s="134">
        <f t="shared" si="18"/>
        <v>7</v>
      </c>
      <c r="AB19" s="134">
        <f t="shared" si="18"/>
        <v>69</v>
      </c>
      <c r="AC19" s="134">
        <f t="shared" si="18"/>
        <v>10</v>
      </c>
      <c r="AD19" s="134">
        <f t="shared" si="18"/>
        <v>6</v>
      </c>
      <c r="AE19" s="134">
        <f t="shared" si="18"/>
        <v>9</v>
      </c>
      <c r="AF19" s="134">
        <f t="shared" si="18"/>
        <v>7</v>
      </c>
      <c r="AG19" s="134">
        <f t="shared" si="18"/>
        <v>70</v>
      </c>
      <c r="AH19" s="134">
        <f t="shared" si="18"/>
        <v>14</v>
      </c>
      <c r="AI19" s="134">
        <f t="shared" si="18"/>
        <v>26</v>
      </c>
      <c r="AJ19" s="134">
        <f t="shared" si="18"/>
        <v>58</v>
      </c>
      <c r="AK19" s="134">
        <f t="shared" si="18"/>
        <v>19</v>
      </c>
      <c r="AL19" s="134">
        <f t="shared" si="18"/>
        <v>3</v>
      </c>
      <c r="AM19" s="134">
        <f t="shared" si="18"/>
        <v>5</v>
      </c>
      <c r="AN19" s="213">
        <f t="shared" si="18"/>
        <v>17</v>
      </c>
      <c r="AO19" s="214">
        <v>3</v>
      </c>
      <c r="AP19" s="214">
        <v>2</v>
      </c>
      <c r="AQ19" s="214">
        <v>2</v>
      </c>
      <c r="AR19" s="214">
        <v>2</v>
      </c>
      <c r="AS19" s="156">
        <f t="shared" si="18"/>
        <v>0</v>
      </c>
      <c r="AT19" s="156">
        <f t="shared" si="18"/>
        <v>0</v>
      </c>
      <c r="AU19" s="214"/>
      <c r="AV19" s="215"/>
      <c r="AW19" s="214"/>
      <c r="AX19" s="215"/>
      <c r="AY19" s="133">
        <f>SUBTOTAL(9,AY9:AY18)</f>
        <v>638</v>
      </c>
      <c r="AZ19" s="134">
        <f>SUBTOTAL(9,AZ9:AZ18)</f>
        <v>696</v>
      </c>
      <c r="BA19" s="134">
        <f>SUBTOTAL(9,BA9:BA18)</f>
        <v>597</v>
      </c>
      <c r="BB19" s="134">
        <f>SUBTOTAL(9,BB9:BB18)</f>
        <v>742</v>
      </c>
      <c r="BC19" s="135">
        <f>SUBTOTAL(9,BC9:BC18)</f>
        <v>138</v>
      </c>
      <c r="BD19" s="216">
        <f>IF(ISNUMBER(BA19/AZ19),BA19/AZ19," - ")</f>
        <v>0.85775862068965514</v>
      </c>
      <c r="BE19" s="213">
        <f>IF(ISNUMBER(BB19/BA19),BB19/BA19, " - ")</f>
        <v>1.2428810720268006</v>
      </c>
      <c r="BF19" s="213">
        <f>IF(ISNUMBER(BC19/BA19),BC19/BA19, " - ")</f>
        <v>0.23115577889447236</v>
      </c>
      <c r="BG19" s="135">
        <f>IF(ISNUMBER((AY19+AZ19)/BA19),(AY19+AZ19)/BA19," - ")</f>
        <v>2.2345058626465661</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gT4dNM29SsHi0DAlhe/cMrLS61HbcbKRYDXEFygR0o3lUCGZ98EoC6CtCecJI0tB4zJkGVTOKAmBvvT82vOpg==" saltValue="h9S4uP/hE2VPeYa1OKQb1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VttzIFk28g8V9CyrAtm5uFuNcp17g5TcCwgmy4/KbzAl5dYpzPk4OQ9a1/66SoLUwmlYgB61XaMfC+yVVryvA==" saltValue="RAmOejy/uzE22MjSBjbpW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ZARAGOZA  Resumenes por Partidos Judiciales  EJEA DE LOS CABALLEROS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13</v>
      </c>
      <c r="O12" s="337"/>
      <c r="P12" s="337"/>
      <c r="Q12" s="229">
        <f>IF(ISNUMBER(Datos!P12),Datos!P12,0)</f>
        <v>99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120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69</v>
      </c>
      <c r="AI12" s="337" t="str">
        <f>IF(ISNUMBER(Datos!CD12),Datos!CD12,"-")</f>
        <v>-</v>
      </c>
      <c r="AJ12" s="337" t="str">
        <f>IF(ISNUMBER(Datos!EN12),Datos!EN12," - ")</f>
        <v xml:space="preserve"> - </v>
      </c>
      <c r="AK12" s="337"/>
      <c r="AL12" s="482"/>
      <c r="AM12" s="338">
        <f>IF(ISNUMBER(Datos!R12),Datos!R12," - ")</f>
        <v>1457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62</v>
      </c>
      <c r="BD12" s="232">
        <f>IF(ISNUMBER(Datos!N12),Datos!N12," - ")</f>
        <v>93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1.0373831775700935</v>
      </c>
      <c r="BH12" s="263">
        <f>IF(ISNUMBER(((IF(J_V="SI",Datos!L12/Datos!K12,(Datos!L12+Datos!AB12)/(Datos!K12+Datos!AA12)))*11)/factor_trimestre),((IF(J_V="SI",Datos!L12/Datos!K12,(Datos!L12+Datos!AB12)/(Datos!K12+Datos!AA12)))*11)/factor_trimestre," - ")</f>
        <v>6.0990990990990994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-1.4208389715832206E-2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13</v>
      </c>
      <c r="O13" s="903">
        <f t="shared" si="0"/>
        <v>0</v>
      </c>
      <c r="P13" s="903">
        <f t="shared" si="0"/>
        <v>0</v>
      </c>
      <c r="Q13" s="902">
        <f t="shared" si="0"/>
        <v>99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120</v>
      </c>
      <c r="AD13" s="902">
        <f t="shared" si="1"/>
        <v>0</v>
      </c>
      <c r="AE13" s="902">
        <f t="shared" si="1"/>
        <v>0</v>
      </c>
      <c r="AF13" s="902">
        <f t="shared" si="1"/>
        <v>0</v>
      </c>
      <c r="AG13" s="902">
        <f t="shared" si="1"/>
        <v>0</v>
      </c>
      <c r="AH13" s="902">
        <f t="shared" si="1"/>
        <v>69</v>
      </c>
      <c r="AI13" s="902">
        <f t="shared" si="1"/>
        <v>0</v>
      </c>
      <c r="AJ13" s="902">
        <f t="shared" si="1"/>
        <v>0</v>
      </c>
      <c r="AK13" s="902">
        <f t="shared" si="1"/>
        <v>0</v>
      </c>
      <c r="AL13" s="902">
        <f t="shared" si="1"/>
        <v>0</v>
      </c>
      <c r="AM13" s="902">
        <f t="shared" si="1"/>
        <v>1457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62</v>
      </c>
      <c r="BD13" s="902">
        <f t="shared" si="1"/>
        <v>93</v>
      </c>
      <c r="BE13" s="902">
        <f t="shared" si="1"/>
        <v>0</v>
      </c>
      <c r="BF13" s="902">
        <f t="shared" si="1"/>
        <v>0</v>
      </c>
      <c r="BG13" s="902">
        <f>IF(ISNUMBER(Datos!K13/Datos!J13),Datos!K13/Datos!J13," - ")</f>
        <v>1.0584415584415585</v>
      </c>
      <c r="BH13" s="906">
        <f>IF(ISNUMBER(((Datos!L13/Datos!K13)*11)/factor_trimestre),((Datos!L13/Datos!K13)*11)/factor_trimestre," - ")</f>
        <v>5.595092024539877</v>
      </c>
      <c r="BI13" s="902">
        <f>IF(ISNUMBER('Resol  Asuntos'!D13/NºAsuntos!G13),'Resol  Asuntos'!D13/NºAsuntos!G13," - ")</f>
        <v>0.18618618618618618</v>
      </c>
      <c r="BJ13" s="902" t="str">
        <f>IF(ISNUMBER(Datos!CI13/Datos!CJ13),Datos!CI13/Datos!CJ13," - ")</f>
        <v xml:space="preserve"> - </v>
      </c>
      <c r="BK13" s="902">
        <f>SUBTOTAL(9,BK8:BK12)</f>
        <v>0</v>
      </c>
      <c r="BL13" s="902" t="str">
        <f>IF(ISNUMBER((I13-AB13+L13)/(F13)),(I13-AB13+L13)/(F13)," - ")</f>
        <v xml:space="preserve"> - </v>
      </c>
      <c r="BM13" s="907">
        <f>SUBTOTAL(9,BM9:BM12)</f>
        <v>-1.4208389715832206E-2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619</v>
      </c>
      <c r="G16" s="601">
        <f>IF(ISNUMBER(IF(D_I="SI",Datos!I16,Datos!I16+Datos!AC16)),IF(D_I="SI",Datos!I16,Datos!I16+Datos!AC16)," - ")</f>
        <v>619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311</v>
      </c>
      <c r="AC16" s="229">
        <f>IF(ISNUMBER(Datos!Q16),Datos!Q16," - ")</f>
        <v>3</v>
      </c>
      <c r="AD16" s="337"/>
      <c r="AE16" s="487"/>
      <c r="AF16" s="599">
        <f>IF(ISNUMBER(IF(D_I="SI",Datos!L16,Datos!L16+Datos!AF16)),IF(D_I="SI",Datos!L16,Datos!L16+Datos!AF16)," - ")</f>
        <v>704</v>
      </c>
      <c r="AG16" s="337"/>
      <c r="AH16" s="337"/>
      <c r="AI16" s="337"/>
      <c r="AJ16" s="337"/>
      <c r="AK16" s="337"/>
      <c r="AL16" s="482"/>
      <c r="AM16" s="338">
        <f>IF(ISNUMBER(Datos!R16),Datos!R16," - ")</f>
        <v>86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36</v>
      </c>
      <c r="BD16" s="232">
        <f>IF(ISNUMBER(Datos!N16),Datos!N16," - ")</f>
        <v>160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0.78535353535353536</v>
      </c>
      <c r="BH16" s="263">
        <f>IF(ISNUMBER(((IF(D_I="SI",Datos!L16/Datos!K16,(Datos!L16+Datos!AF16)/(Datos!K16+Datos!AE16)))*11)/factor_trimestre),((IF(D_I="SI",Datos!L16/Datos!K16,(Datos!L16+Datos!AF16)/(Datos!K16+Datos!AE16)))*11)/factor_trimestre," - ")</f>
        <v>6.7909967845659169</v>
      </c>
      <c r="BI16" s="246">
        <f>IF(ISNUMBER('Resol  Asuntos'!D16/NºAsuntos!G16),'Resol  Asuntos'!D16/NºAsuntos!G16," - ")</f>
        <v>0.1157556270096463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19</v>
      </c>
      <c r="AC17" s="229">
        <f>IF(ISNUMBER(Datos!Q17),Datos!Q17," - ")</f>
        <v>0</v>
      </c>
      <c r="AD17" s="337"/>
      <c r="AE17" s="487"/>
      <c r="AF17" s="335">
        <f>IF(ISNUMBER(Datos!L17),Datos!L17,"-")</f>
        <v>32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15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1.4615384615384615</v>
      </c>
      <c r="BH17" s="263">
        <f>IF(ISNUMBER(((IF(D_I="SI",Datos!L17/Datos!K17,(Datos!L17+Datos!AF17)/(Datos!K17+Datos!AE17)))*11)/factor_trimestre),((IF(D_I="SI",Datos!L17/Datos!K17,(Datos!L17+Datos!AF17)/(Datos!K17+Datos!AE17)))*11)/factor_trimestre," - ")</f>
        <v>5.052631578947369</v>
      </c>
      <c r="BI17" s="246">
        <f>IF(ISNUMBER('Resol  Asuntos'!D17/NºAsuntos!G17),'Resol  Asuntos'!D17/NºAsuntos!G17," - ")</f>
        <v>5.2631578947368418E-2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619</v>
      </c>
      <c r="G18" s="901">
        <f>SUBTOTAL(9,G15:G17)</f>
        <v>657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330</v>
      </c>
      <c r="AC18" s="902">
        <f t="shared" si="4"/>
        <v>3</v>
      </c>
      <c r="AD18" s="902">
        <f t="shared" si="4"/>
        <v>0</v>
      </c>
      <c r="AE18" s="902">
        <f t="shared" si="4"/>
        <v>0</v>
      </c>
      <c r="AF18" s="902">
        <f t="shared" si="4"/>
        <v>736</v>
      </c>
      <c r="AG18" s="902">
        <f t="shared" si="4"/>
        <v>0</v>
      </c>
      <c r="AH18" s="902">
        <f t="shared" si="4"/>
        <v>0</v>
      </c>
      <c r="AI18" s="902">
        <f t="shared" si="4"/>
        <v>0</v>
      </c>
      <c r="AJ18" s="902">
        <f t="shared" si="4"/>
        <v>0</v>
      </c>
      <c r="AK18" s="902">
        <f t="shared" si="4"/>
        <v>0</v>
      </c>
      <c r="AL18" s="902">
        <f t="shared" si="4"/>
        <v>0</v>
      </c>
      <c r="AM18" s="902">
        <f t="shared" si="4"/>
        <v>86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37</v>
      </c>
      <c r="BD18" s="902">
        <f t="shared" si="4"/>
        <v>175</v>
      </c>
      <c r="BE18" s="902">
        <f t="shared" si="4"/>
        <v>0</v>
      </c>
      <c r="BF18" s="902">
        <f t="shared" si="4"/>
        <v>0</v>
      </c>
      <c r="BG18" s="902">
        <f>IF(ISNUMBER(Datos!K18/Datos!J18),Datos!K18/Datos!J18," - ")</f>
        <v>0.8068459657701712</v>
      </c>
      <c r="BH18" s="906">
        <f>IF(ISNUMBER(((Datos!L18/Datos!K18)*11)/factor_trimestre),((Datos!L18/Datos!K18)*11)/factor_trimestre," - ")</f>
        <v>6.6909090909090914</v>
      </c>
      <c r="BI18" s="902">
        <f>SUBTOTAL(9,BI15:BI17)</f>
        <v>0.16838720595701473</v>
      </c>
      <c r="BJ18" s="902">
        <f>SUBTOTAL(9,BJ15:BJ17)</f>
        <v>0</v>
      </c>
      <c r="BK18" s="902">
        <f>SUBTOTAL(9,BK15:BK17)</f>
        <v>0</v>
      </c>
      <c r="BL18" s="902">
        <f>IF(ISNUMBER((I18-AB18+L18)/(F18)),(I18-AB18+L18)/(F18)," - ")</f>
        <v>-0.53311793214862679</v>
      </c>
      <c r="BM18" s="908">
        <f>IF(ISNUMBER((Datos!P18-Datos!Q18)/(Datos!R18-Datos!P18+Datos!Q18)),(Datos!P18-Datos!Q18)/(Datos!R18-Datos!P18+Datos!Q18)," - ")</f>
        <v>7.4999999999999997E-2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619</v>
      </c>
      <c r="G19" s="823">
        <f t="shared" si="6"/>
        <v>657</v>
      </c>
      <c r="H19" s="825">
        <f t="shared" si="6"/>
        <v>0</v>
      </c>
      <c r="I19" s="823">
        <f t="shared" si="6"/>
        <v>0</v>
      </c>
      <c r="J19" s="825">
        <f t="shared" si="6"/>
        <v>0</v>
      </c>
      <c r="K19" s="825">
        <f t="shared" si="6"/>
        <v>0</v>
      </c>
      <c r="L19" s="884">
        <f t="shared" si="6"/>
        <v>0</v>
      </c>
      <c r="M19" s="884">
        <f t="shared" si="6"/>
        <v>0</v>
      </c>
      <c r="N19" s="884">
        <f t="shared" si="6"/>
        <v>13</v>
      </c>
      <c r="O19" s="884">
        <f t="shared" si="6"/>
        <v>0</v>
      </c>
      <c r="P19" s="884">
        <f t="shared" si="6"/>
        <v>0</v>
      </c>
      <c r="Q19" s="825">
        <f t="shared" si="6"/>
        <v>108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330</v>
      </c>
      <c r="AC19" s="824">
        <f t="shared" si="7"/>
        <v>123</v>
      </c>
      <c r="AD19" s="824">
        <f t="shared" si="7"/>
        <v>0</v>
      </c>
      <c r="AE19" s="824">
        <f t="shared" si="7"/>
        <v>0</v>
      </c>
      <c r="AF19" s="831">
        <f t="shared" si="7"/>
        <v>736</v>
      </c>
      <c r="AG19" s="831">
        <f t="shared" si="7"/>
        <v>0</v>
      </c>
      <c r="AH19" s="831">
        <f t="shared" si="7"/>
        <v>69</v>
      </c>
      <c r="AI19" s="831">
        <f t="shared" si="7"/>
        <v>0</v>
      </c>
      <c r="AJ19" s="824">
        <f t="shared" si="7"/>
        <v>0</v>
      </c>
      <c r="AK19" s="831">
        <f t="shared" si="7"/>
        <v>0</v>
      </c>
      <c r="AL19" s="831">
        <f t="shared" si="7"/>
        <v>0</v>
      </c>
      <c r="AM19" s="831">
        <f t="shared" si="7"/>
        <v>1543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99</v>
      </c>
      <c r="BD19" s="823">
        <f t="shared" si="7"/>
        <v>268</v>
      </c>
      <c r="BE19" s="823">
        <f t="shared" si="7"/>
        <v>0</v>
      </c>
      <c r="BF19" s="833">
        <f t="shared" si="7"/>
        <v>0</v>
      </c>
      <c r="BG19" s="918">
        <f>IF(ISNUMBER(Datos!K19/Datos!J19),Datos!K19/Datos!J19," - ")</f>
        <v>0.91492329149232909</v>
      </c>
      <c r="BH19" s="918">
        <f>IF(ISNUMBER(((Datos!L19/Datos!K19)*11)/factor_trimestre),((Datos!L19/Datos!K19)*11)/factor_trimestre," - ")</f>
        <v>6.1463414634146352</v>
      </c>
      <c r="BI19" s="816">
        <f>IF(ISNUMBER(Datos!J19/Datos!I19),Datos!J19/Datos!I19," - ")</f>
        <v>0.55884645362431795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-0.53311793214862679</v>
      </c>
      <c r="BM19" s="892">
        <f>IF(ISNUMBER((Datos!P19-Datos!Q19+R19)/(Datos!R19-Datos!P19+Datos!Q19-R19)),(Datos!P19-Datos!Q19+R19)/(Datos!R19-Datos!P19+Datos!Q19-R19)," - ")</f>
        <v>-9.6277278562259313E-3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262.8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357.37981662837836</v>
      </c>
      <c r="G21" s="555">
        <f>IF(ISNUMBER(STDEV(G8:G18)),STDEV(G8:G18),"-")</f>
        <v>343.1234471731712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172.38184359148732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27.640549922170507</v>
      </c>
      <c r="BD21" s="554"/>
      <c r="BE21" s="554">
        <f>IF(ISNUMBER(STDEV(BE8:BE18)),STDEV(BE8:BE18),"-")</f>
        <v>0</v>
      </c>
      <c r="BF21" s="559">
        <f>IF(ISNUMBER(STDEV(BF8:BF18)),STDEV(BF8:BF18),"-")</f>
        <v>0</v>
      </c>
      <c r="BG21" s="778">
        <f>IF(ISNUMBER(STDEV(BG8:BG18)),STDEV(BG8:BG18),"-")</f>
        <v>0.27236852551055207</v>
      </c>
      <c r="BH21" s="779">
        <f>IF(ISNUMBER(STDEV(BH8:BH18)),STDEV(BH8:BH18),"-")</f>
        <v>0.73550084259830961</v>
      </c>
      <c r="BI21" s="252">
        <f>IF(ISNUMBER(STDEV(BI8:BI18)),STDEV(BI8:BI18),"-")</f>
        <v>6.0047338414850937E-2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Ktv75W3SGTKwjXlP4ASHE7jqHfjAaOkPU7tRO0Pfme67moL4qy2hDe2rDrJo5ppyl8av3OyDSE7tBhIFoohF6g==" saltValue="aqHR5k/1Vf4YIdgEIiY4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ZARAGOZA  Resumenes por Partidos Judiciales  EJEA DE LOS CABALLEROS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120</v>
      </c>
      <c r="AA12" s="335" t="str">
        <f>IF(ISNUMBER(IF(J_V="SI",Datos!L12,Datos!L12+Datos!AB12)-IF(Monitorios="SI",Datos!CD12,0)),
                          IF(J_V="SI",Datos!L12,Datos!L12+Datos!AB12)-IF(Monitorios="SI",Datos!CD12,0),
                          " - ")</f>
        <v xml:space="preserve"> - </v>
      </c>
      <c r="AB12" s="337"/>
      <c r="AC12" s="337"/>
      <c r="AD12" s="487"/>
      <c r="AE12" s="487">
        <f>IF(ISNUMBER(Datos!R12),Datos!R12," - ")</f>
        <v>1457</v>
      </c>
      <c r="AF12" s="232" t="str">
        <f>IF(ISNUMBER(Datos!BV12),Datos!BV12," - ")</f>
        <v xml:space="preserve"> - </v>
      </c>
      <c r="AG12" s="228" t="str">
        <f>IF(ISNUMBER(Datos!DV12),Datos!DV12," - ")</f>
        <v xml:space="preserve"> - </v>
      </c>
      <c r="AH12" s="301"/>
      <c r="AI12" s="230"/>
      <c r="AJ12" s="228">
        <f>IF(ISNUMBER(Datos!M12),Datos!M12," - ")</f>
        <v>62</v>
      </c>
      <c r="AK12" s="232">
        <f>IF(ISNUMBER(Datos!N12),Datos!N12," - ")</f>
        <v>93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6.0990990990990994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-1.4208389715832206E-2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99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120</v>
      </c>
      <c r="AA13" s="903">
        <f t="shared" si="2"/>
        <v>0</v>
      </c>
      <c r="AB13" s="903">
        <f t="shared" si="2"/>
        <v>0</v>
      </c>
      <c r="AC13" s="903">
        <f t="shared" si="2"/>
        <v>0</v>
      </c>
      <c r="AD13" s="903">
        <f t="shared" si="2"/>
        <v>0</v>
      </c>
      <c r="AE13" s="903">
        <f t="shared" si="2"/>
        <v>1457</v>
      </c>
      <c r="AF13" s="911">
        <f t="shared" si="2"/>
        <v>0</v>
      </c>
      <c r="AG13" s="911">
        <f t="shared" si="2"/>
        <v>0</v>
      </c>
      <c r="AH13" s="911">
        <f t="shared" si="2"/>
        <v>0</v>
      </c>
      <c r="AI13" s="911">
        <f t="shared" si="2"/>
        <v>0</v>
      </c>
      <c r="AJ13" s="911">
        <f t="shared" si="2"/>
        <v>62</v>
      </c>
      <c r="AK13" s="911">
        <f t="shared" si="2"/>
        <v>93</v>
      </c>
      <c r="AL13" s="911">
        <f t="shared" si="2"/>
        <v>0</v>
      </c>
      <c r="AM13" s="911">
        <f t="shared" si="2"/>
        <v>0</v>
      </c>
      <c r="AN13" s="911">
        <f t="shared" si="2"/>
        <v>0</v>
      </c>
      <c r="AO13" s="907">
        <f>IF(ISNUMBER(((NºAsuntos!I13/NºAsuntos!G13)*11)/factor_trimestre),((NºAsuntos!I13/NºAsuntos!G13)*11)/factor_trimestre," - ")</f>
        <v>6.0990990990990994</v>
      </c>
      <c r="AP13" s="913" t="str">
        <f>IF(ISNUMBER(Datos!CI13/Datos!CJ13),Datos!CI13/Datos!CJ13," - ")</f>
        <v xml:space="preserve"> - </v>
      </c>
      <c r="AQ13" s="931">
        <f t="shared" ref="AQ13:AV13" si="3">SUBTOTAL(9,AQ9:AQ12)</f>
        <v>0</v>
      </c>
      <c r="AR13" s="931">
        <f t="shared" si="3"/>
        <v>-1.4208389715832206E-2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619</v>
      </c>
      <c r="G16" s="228">
        <f>IF(ISNUMBER(IF(D_I="SI",Datos!I16,Datos!I16+Datos!AC16)),IF(D_I="SI",Datos!I16,Datos!I16+Datos!AC16)," - ")</f>
        <v>619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311</v>
      </c>
      <c r="Z16" s="622">
        <f>IF(ISNUMBER(Datos!Q16),Datos!Q16," - ")</f>
        <v>3</v>
      </c>
      <c r="AA16" s="335">
        <f>IF(ISNUMBER(IF(D_I="SI",Datos!L16,Datos!L16+Datos!AF16)),IF(D_I="SI",Datos!L16,Datos!L16+Datos!AF16)," - ")</f>
        <v>704</v>
      </c>
      <c r="AB16" s="337"/>
      <c r="AC16" s="337"/>
      <c r="AD16" s="487"/>
      <c r="AE16" s="487">
        <f>IF(ISNUMBER(Datos!R16),Datos!R16," - ")</f>
        <v>86</v>
      </c>
      <c r="AF16" s="232" t="str">
        <f>IF(ISNUMBER(Datos!BV16),Datos!BV16," - ")</f>
        <v xml:space="preserve"> - </v>
      </c>
      <c r="AG16" s="228"/>
      <c r="AH16" s="301"/>
      <c r="AI16" s="230"/>
      <c r="AJ16" s="228">
        <f>IF(ISNUMBER(Datos!M16),Datos!M16," - ")</f>
        <v>36</v>
      </c>
      <c r="AK16" s="232">
        <f>IF(ISNUMBER(Datos!N16),Datos!N16," - ")</f>
        <v>160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6.7909967845659169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19</v>
      </c>
      <c r="Z17" s="622">
        <f>IF(ISNUMBER(Datos!Q17),Datos!Q17," - ")</f>
        <v>0</v>
      </c>
      <c r="AA17" s="335">
        <f>IF(ISNUMBER(Datos!L17),Datos!L17,"-")</f>
        <v>32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15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5.052631578947369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619</v>
      </c>
      <c r="G18" s="901">
        <f>SUBTOTAL(9,G15:G17)</f>
        <v>657</v>
      </c>
      <c r="H18" s="935">
        <f>SUBTOTAL(9,H15:H17)</f>
        <v>0</v>
      </c>
      <c r="I18" s="914">
        <f>SUBTOTAL(9,I15:I17)</f>
        <v>0</v>
      </c>
      <c r="J18" s="870">
        <f>SUBTOTAL(9,J14:J17)</f>
        <v>0</v>
      </c>
      <c r="K18" s="935">
        <f t="shared" ref="K18:S18" si="4">SUBTOTAL(9,K15:K17)</f>
        <v>0</v>
      </c>
      <c r="L18" s="935">
        <f t="shared" si="4"/>
        <v>0</v>
      </c>
      <c r="M18" s="935">
        <f t="shared" si="4"/>
        <v>0</v>
      </c>
      <c r="N18" s="935">
        <f t="shared" si="4"/>
        <v>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330</v>
      </c>
      <c r="Z18" s="935">
        <f t="shared" si="5"/>
        <v>3</v>
      </c>
      <c r="AA18" s="935">
        <f t="shared" si="5"/>
        <v>736</v>
      </c>
      <c r="AB18" s="935">
        <f t="shared" si="5"/>
        <v>0</v>
      </c>
      <c r="AC18" s="935">
        <f t="shared" si="5"/>
        <v>0</v>
      </c>
      <c r="AD18" s="935">
        <f t="shared" si="5"/>
        <v>0</v>
      </c>
      <c r="AE18" s="935">
        <f t="shared" si="5"/>
        <v>86</v>
      </c>
      <c r="AF18" s="935">
        <f t="shared" si="5"/>
        <v>0</v>
      </c>
      <c r="AG18" s="935">
        <f t="shared" si="5"/>
        <v>0</v>
      </c>
      <c r="AH18" s="935">
        <f t="shared" si="5"/>
        <v>0</v>
      </c>
      <c r="AI18" s="935">
        <f t="shared" si="5"/>
        <v>0</v>
      </c>
      <c r="AJ18" s="935">
        <f t="shared" si="5"/>
        <v>37</v>
      </c>
      <c r="AK18" s="935">
        <f t="shared" si="5"/>
        <v>175</v>
      </c>
      <c r="AL18" s="935">
        <f t="shared" si="5"/>
        <v>0</v>
      </c>
      <c r="AM18" s="935">
        <f t="shared" si="5"/>
        <v>0</v>
      </c>
      <c r="AN18" s="935">
        <f t="shared" si="5"/>
        <v>0</v>
      </c>
      <c r="AO18" s="937">
        <f>IF(ISNUMBER(((NºAsuntos!I18/NºAsuntos!G18)*11)/factor_trimestre),((NºAsuntos!I18/NºAsuntos!G18)*11)/factor_trimestre," - ")</f>
        <v>6.6909090909090914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619</v>
      </c>
      <c r="G19" s="823">
        <f t="shared" si="7"/>
        <v>657</v>
      </c>
      <c r="H19" s="824">
        <f t="shared" si="7"/>
        <v>0</v>
      </c>
      <c r="I19" s="823">
        <f t="shared" si="7"/>
        <v>0</v>
      </c>
      <c r="J19" s="825">
        <f t="shared" si="7"/>
        <v>0</v>
      </c>
      <c r="K19" s="823">
        <f t="shared" si="7"/>
        <v>0</v>
      </c>
      <c r="L19" s="826">
        <f t="shared" si="7"/>
        <v>0</v>
      </c>
      <c r="M19" s="823">
        <f t="shared" si="7"/>
        <v>0</v>
      </c>
      <c r="N19" s="824">
        <f t="shared" si="7"/>
        <v>108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330</v>
      </c>
      <c r="Z19" s="830">
        <f t="shared" si="8"/>
        <v>123</v>
      </c>
      <c r="AA19" s="831">
        <f t="shared" si="8"/>
        <v>736</v>
      </c>
      <c r="AB19" s="831">
        <f t="shared" si="8"/>
        <v>0</v>
      </c>
      <c r="AC19" s="831">
        <f t="shared" si="8"/>
        <v>0</v>
      </c>
      <c r="AD19" s="832">
        <f t="shared" si="8"/>
        <v>0</v>
      </c>
      <c r="AE19" s="832">
        <f t="shared" si="8"/>
        <v>1543</v>
      </c>
      <c r="AF19" s="833">
        <f t="shared" si="8"/>
        <v>0</v>
      </c>
      <c r="AG19" s="834">
        <f t="shared" si="8"/>
        <v>0</v>
      </c>
      <c r="AH19" s="835">
        <f t="shared" si="8"/>
        <v>0</v>
      </c>
      <c r="AI19" s="833">
        <f t="shared" si="8"/>
        <v>0</v>
      </c>
      <c r="AJ19" s="823">
        <f t="shared" si="8"/>
        <v>99</v>
      </c>
      <c r="AK19" s="823">
        <f t="shared" si="8"/>
        <v>268</v>
      </c>
      <c r="AL19" s="823">
        <f t="shared" si="8"/>
        <v>0</v>
      </c>
      <c r="AM19" s="836">
        <f t="shared" si="8"/>
        <v>0</v>
      </c>
      <c r="AN19" s="826">
        <f>IF(ISNUMBER(Datos!K19/Datos!J19),Datos!K19/Datos!J19," - ")</f>
        <v>0.91492329149232909</v>
      </c>
      <c r="AO19" s="826">
        <f>IF(ISNUMBER(FIND("06",Criterios!A8,1)),(IF(ISNUMBER(((Datos!R19/Datos!Q19)*11)/factor_trimestre),((Datos!R19/Datos!Q19)*11)/factor_trimestre," - ")),(IF(ISNUMBER(((Datos!L19/Datos!K19)*11)/factor_trimestre),((Datos!L19/Datos!K19)*11)/factor_trimestre," - ")))</f>
        <v>6.1463414634146352</v>
      </c>
      <c r="AP19" s="837" t="str">
        <f>IF(ISNUMBER(Datos!CI19/Datos!CJ19),Datos!CI19/Datos!CJ19," - ")</f>
        <v xml:space="preserve"> - </v>
      </c>
      <c r="AQ19" s="837">
        <f>IF(OR(ISNUMBER(FIND("01",Criterios!A8,1)),ISNUMBER(FIND("02",Criterios!A8,1)),ISNUMBER(FIND("03",Criterios!A8,1)),ISNUMBER(FIND("04",Criterios!A8,1))),(J19-Y19+K19)/(F19-K19),(I19-Y19+K19)/(F19-K19))</f>
        <v>-0.53311793214862679</v>
      </c>
      <c r="AR19" s="837">
        <f>IF(ISNUMBER((Datos!P19-Datos!Q19+O19)/(Datos!R19-Datos!P19+Datos!Q19-O19)),(Datos!P19-Datos!Q19+O19)/(Datos!R19-Datos!P19+Datos!Q19-O19)," - ")</f>
        <v>-9.6277278562259313E-3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262.8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357.37981662837836</v>
      </c>
      <c r="G21" s="555">
        <f>IF(ISNUMBER(STDEV(G8:G18)),STDEV(G8:G18),"-")</f>
        <v>343.1234471731712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27.640549922170507</v>
      </c>
      <c r="AK21" s="255"/>
      <c r="AL21" s="255">
        <f>IF(ISNUMBER(STDEV(AL8:AL18)),STDEV(AL8:AL18),"-")</f>
        <v>0</v>
      </c>
      <c r="AM21" s="257">
        <f>IF(ISNUMBER(STDEV(AM8:AM18)),STDEV(AM8:AM18),"-")</f>
        <v>0</v>
      </c>
      <c r="AN21" s="542">
        <f>IF(ISNUMBER(STDEV(AN8:AN18)),STDEV(AN8:AN18),"-")</f>
        <v>0</v>
      </c>
      <c r="AO21" s="543">
        <f>IF(ISNUMBER(STDEV(AO8:AO18)),STDEV(AO8:AO18),"-")</f>
        <v>0.69151991400509438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bbsgiwjzUX3jufvfDx56l8hqAtUU0j8WrRpbcdskDd9BzGItk+2L24eiIDW07refOTg274g6AAOA4+UOwNMPeg==" saltValue="pOdD/rTSyQ26zwLP4uIu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t2PGYT9tdKzxumMKwAtBa60nHbdHVeOU+5WkllDlkjCJlzurv3f6u9Ec4+NLRLe1+rKAZAG0CnwXUN6hAWxeFQ==" saltValue="54GagWofiENU/5gMQJFR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kf3fdSelrw0kKQkDrx2yBw79cMc7GnWXmXEKPaqz4cbKFGaMDjnwPZS12WL9+nIy+OPfHNTsxqoZrZ/rvSdeA==" saltValue="fY70aj+TT+pLG5Ixp2XnW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ZARAGOZA  Resumenes por Partidos Judiciales  EJEA DE LOS CABALLEROS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0.18618618618618618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0.13165351481551335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TgE0BTI4rqcO1bHHCpOm7o+97PZah10GR8lWez3EaNJIx5aWEMzpdFtSENhwyjacnw/rxuYtDVyrEmP8tiqTcQ==" saltValue="CZrm4OBg2Tf8Xwp6cNFN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M0YXFhukMkHlyGPsWbHtZ7ALHKquLy+BK1bhyR5PaHbLnFp/5fXU2kRYlQOEnwmpuxWTLFEsoK8s441E4vqg==" saltValue="K+1QdAmf0/0jMqbhOR9A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ZARAGOZA</v>
      </c>
      <c r="D3" s="378"/>
      <c r="E3" s="378"/>
      <c r="F3" s="378"/>
    </row>
    <row r="4" spans="1:14" ht="13.5" thickBot="1">
      <c r="A4" s="378"/>
      <c r="B4" s="394" t="str">
        <f>Criterios!A11 &amp;"  "&amp;Criterios!B11</f>
        <v>Resumenes por Partidos Judiciales  EJEA DE LOS CABALLEROS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689</v>
      </c>
      <c r="D12" s="407">
        <f>IF(ISNUMBER(C12/Datos!BH12),C12/Datos!BH12," - ")</f>
        <v>344.5</v>
      </c>
      <c r="E12" s="406">
        <f>IF(ISNUMBER(IF(J_V="SI",Datos!J12,Datos!J12+Datos!Z12)),IF(J_V="SI",Datos!J12,Datos!J12+Datos!Z12)," - ")</f>
        <v>321</v>
      </c>
      <c r="F12" s="407">
        <f>IF(ISNUMBER(E12/B12),E12/B12," - ")</f>
        <v>160.5</v>
      </c>
      <c r="G12" s="406">
        <f>IF(ISNUMBER(IF(J_V="SI",Datos!K12,Datos!K12+Datos!AA12)),IF(J_V="SI",Datos!K12,Datos!K12+Datos!AA12)," - ")</f>
        <v>333</v>
      </c>
      <c r="H12" s="407">
        <f>IF(ISNUMBER(G12/B12),G12/B12," - ")</f>
        <v>166.5</v>
      </c>
      <c r="I12" s="406">
        <f>IF(ISNUMBER(IF(J_V="SI",Datos!L12,Datos!L12+Datos!AB12)),IF(J_V="SI",Datos!L12,Datos!L12+Datos!AB12)," - ")</f>
        <v>677</v>
      </c>
      <c r="J12" s="407">
        <f>IF(ISNUMBER(I12/B12),I12/B12," - ")</f>
        <v>338.5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689</v>
      </c>
      <c r="D13" s="853" t="str">
        <f>IF(ISNUMBER(C13/Datos!BI13),C13/Datos!BI13," - ")</f>
        <v xml:space="preserve"> - </v>
      </c>
      <c r="E13" s="852">
        <f>SUBTOTAL(9,E8:E12)</f>
        <v>321</v>
      </c>
      <c r="F13" s="853">
        <f>IF(ISNUMBER(E13/B13),E13/B13," - ")</f>
        <v>160.5</v>
      </c>
      <c r="G13" s="852">
        <f>SUBTOTAL(9,G8:G12)</f>
        <v>333</v>
      </c>
      <c r="H13" s="853">
        <f>IF(ISNUMBER(G13/B13),G13/B13," - ")</f>
        <v>166.5</v>
      </c>
      <c r="I13" s="852">
        <f>SUBTOTAL(9,I8:I12)</f>
        <v>677</v>
      </c>
      <c r="J13" s="853">
        <f>IF(ISNUMBER(I13/B13),I13/B13," - ")</f>
        <v>338.5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619</v>
      </c>
      <c r="D16" s="407">
        <f>IF(ISNUMBER(C16/Datos!BH16),C16/Datos!BH16," - ")</f>
        <v>309.5</v>
      </c>
      <c r="E16" s="406">
        <f>IF(ISNUMBER(IF(D_I="SI",Datos!J16,Datos!J16+Datos!AD16)),IF(D_I="SI",Datos!J16,Datos!J16+Datos!AD16)," - ")</f>
        <v>396</v>
      </c>
      <c r="F16" s="407">
        <f>IF(ISNUMBER(E16/B16),E16/B16," - ")</f>
        <v>198</v>
      </c>
      <c r="G16" s="406">
        <f>IF(ISNUMBER(IF(D_I="SI",Datos!K16,Datos!K16+Datos!AE16)),IF(D_I="SI",Datos!K16,Datos!K16+Datos!AE16)," - ")</f>
        <v>311</v>
      </c>
      <c r="H16" s="407">
        <f>IF(ISNUMBER(G16/B16),G16/B16," - ")</f>
        <v>155.5</v>
      </c>
      <c r="I16" s="406">
        <f>IF(ISNUMBER(IF(D_I="SI",Datos!L16,Datos!L16+Datos!AF16)),IF(D_I="SI",Datos!L16,Datos!L16+Datos!AF16)," - ")</f>
        <v>704</v>
      </c>
      <c r="J16" s="407">
        <f>IF(ISNUMBER(I16/B16),I16/B16," - ")</f>
        <v>352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38</v>
      </c>
      <c r="D17" s="407">
        <f>IF(ISNUMBER(C17/Datos!BH17),C17/Datos!BH17," - ")</f>
        <v>38</v>
      </c>
      <c r="E17" s="406">
        <f>IF(ISNUMBER(IF(D_I="SI",Datos!J17,Datos!J17+Datos!AD17)),IF(D_I="SI",Datos!J17,Datos!J17+Datos!AD17)," - ")</f>
        <v>13</v>
      </c>
      <c r="F17" s="407">
        <f>IF(ISNUMBER(E17/B17),E17/B17," - ")</f>
        <v>13</v>
      </c>
      <c r="G17" s="406">
        <f>IF(ISNUMBER(IF(D_I="SI",Datos!K17,Datos!K17+Datos!AE17)),IF(D_I="SI",Datos!K17,Datos!K17+Datos!AE17)," - ")</f>
        <v>19</v>
      </c>
      <c r="H17" s="407">
        <f>IF(ISNUMBER(G17/B17),G17/B17," - ")</f>
        <v>19</v>
      </c>
      <c r="I17" s="406">
        <f>IF(ISNUMBER(IF(D_I="SI",Datos!L17,Datos!L17+Datos!AF17)),IF(D_I="SI",Datos!L17,Datos!L17+Datos!AF17)," - ")</f>
        <v>32</v>
      </c>
      <c r="J17" s="407">
        <f>IF(ISNUMBER(I17/B17),I17/B17," - ")</f>
        <v>32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657</v>
      </c>
      <c r="D18" s="853" t="str">
        <f>IF(ISNUMBER(C18/Datos!BI18),C18/Datos!BI18," - ")</f>
        <v xml:space="preserve"> - </v>
      </c>
      <c r="E18" s="852">
        <f>SUBTOTAL(9,E14:E17)</f>
        <v>409</v>
      </c>
      <c r="F18" s="853">
        <f>IF(ISNUMBER(E18/B18),E18/B18," - ")</f>
        <v>204.5</v>
      </c>
      <c r="G18" s="852">
        <f>SUBTOTAL(9,G14:G17)</f>
        <v>330</v>
      </c>
      <c r="H18" s="853">
        <f>IF(ISNUMBER(G18/B18),G18/B18," - ")</f>
        <v>165</v>
      </c>
      <c r="I18" s="852">
        <f>SUBTOTAL(9,I14:I17)</f>
        <v>736</v>
      </c>
      <c r="J18" s="853">
        <f>IF(ISNUMBER(I18/B18),I18/B18," - ")</f>
        <v>368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1346</v>
      </c>
      <c r="D19" s="798" t="str">
        <f>IF(ISNUMBER(C19/Datos!BI19),C19/Datos!BI19," - ")</f>
        <v xml:space="preserve"> - </v>
      </c>
      <c r="E19" s="797">
        <f>SUBTOTAL(9,E9:E18)</f>
        <v>730</v>
      </c>
      <c r="F19" s="798">
        <f>IF(ISNUMBER(E19/B19),E19/B19," - ")</f>
        <v>365</v>
      </c>
      <c r="G19" s="797">
        <f>SUBTOTAL(9,G9:G18)</f>
        <v>663</v>
      </c>
      <c r="H19" s="798">
        <f>IF(ISNUMBER(G19/B19),G19/B19," - ")</f>
        <v>331.5</v>
      </c>
      <c r="I19" s="797">
        <f>SUBTOTAL(9,I9:I18)</f>
        <v>1413</v>
      </c>
      <c r="J19" s="798">
        <f>IF(ISNUMBER(I19/B19),I19/B19," - ")</f>
        <v>706.5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2GacwdOfwEaewgTHq9/v+um8ksQR1bhLrAZGkRI2lDrfvUPkCaEl9A1GI2YJ1juu6ldORVgSJYpY63Eqp9qdRQ==" saltValue="k0HXvP51H+cqHyypqRW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ZARAGOZA  Resumenes por Partidos Judiciales  EJEA DE LOS CABALLEROS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120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1457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62</v>
      </c>
      <c r="AM12" s="693">
        <f>IF(ISNUMBER(Datos!N12+DatosP!N16),Datos!N12+DatosP!N16," - ")</f>
        <v>93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6.0990990990990994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-1.4208389715832206E-2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99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120</v>
      </c>
      <c r="AE13" s="942">
        <f t="shared" si="1"/>
        <v>0</v>
      </c>
      <c r="AF13" s="942">
        <f t="shared" si="1"/>
        <v>0</v>
      </c>
      <c r="AG13" s="942">
        <f t="shared" si="1"/>
        <v>0</v>
      </c>
      <c r="AH13" s="942">
        <f t="shared" si="1"/>
        <v>1457</v>
      </c>
      <c r="AI13" s="942">
        <f t="shared" si="1"/>
        <v>0</v>
      </c>
      <c r="AJ13" s="942">
        <f t="shared" si="1"/>
        <v>0</v>
      </c>
      <c r="AK13" s="942">
        <f t="shared" si="1"/>
        <v>0</v>
      </c>
      <c r="AL13" s="942">
        <f t="shared" si="1"/>
        <v>62</v>
      </c>
      <c r="AM13" s="942">
        <f t="shared" si="1"/>
        <v>93</v>
      </c>
      <c r="AN13" s="942">
        <f t="shared" si="1"/>
        <v>0</v>
      </c>
      <c r="AO13" s="942">
        <f t="shared" si="1"/>
        <v>0</v>
      </c>
      <c r="AP13" s="947">
        <f>IF(ISNUMBER(((Datos!L13/Datos!K13)*11)/factor_trimestre),((Datos!L13/Datos!K13)*11)/factor_trimestre," - ")</f>
        <v>5.595092024539877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-1.4208389715832206E-2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6.6909090909090914</v>
      </c>
      <c r="AQ18" s="947">
        <f>IF(ISNUMBER(((Datos!M18/Datos!L18)*11)/factor_trimestre),((Datos!M18/Datos!L18)*11)/factor_trimestre," - ")</f>
        <v>0.15081521739130435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7.4999999999999997E-2</v>
      </c>
      <c r="AW18" s="949">
        <f>IF(ISNUMBER((Datos!Q18-Datos!R18)/(Datos!S18-Datos!Q18+Datos!R18)),(Datos!Q18-Datos!R18)/(Datos!S18-Datos!Q18+Datos!R18)," - ")</f>
        <v>-0.28231292517006801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99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120</v>
      </c>
      <c r="AE19" s="960">
        <f t="shared" si="5"/>
        <v>0</v>
      </c>
      <c r="AF19" s="961">
        <f t="shared" si="5"/>
        <v>0</v>
      </c>
      <c r="AG19" s="961">
        <f t="shared" si="5"/>
        <v>0</v>
      </c>
      <c r="AH19" s="961">
        <f t="shared" si="5"/>
        <v>1457</v>
      </c>
      <c r="AI19" s="961">
        <f t="shared" si="5"/>
        <v>0</v>
      </c>
      <c r="AJ19" s="962">
        <f t="shared" si="5"/>
        <v>0</v>
      </c>
      <c r="AK19" s="962">
        <f t="shared" si="5"/>
        <v>0</v>
      </c>
      <c r="AL19" s="954">
        <f t="shared" si="5"/>
        <v>62</v>
      </c>
      <c r="AM19" s="954">
        <f t="shared" si="5"/>
        <v>93</v>
      </c>
      <c r="AN19" s="954">
        <f t="shared" si="5"/>
        <v>0</v>
      </c>
      <c r="AO19" s="954">
        <f t="shared" si="5"/>
        <v>0</v>
      </c>
      <c r="AP19" s="954">
        <f>IF(ISNUMBER(((Datos!L19/Datos!K19)*11)/factor_trimestre),((Datos!L19/Datos!K19)*11)/factor_trimestre," - ")</f>
        <v>6.1463414634146352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-9.6277278562259313E-3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35.795716689756794</v>
      </c>
      <c r="AM21" s="739"/>
      <c r="AN21" s="739">
        <f>IF(ISNUMBER(STDEV(AN8:AN18)),STDEV(AN8:AN18),"-")</f>
        <v>0</v>
      </c>
      <c r="AO21" s="745">
        <f>IF(ISNUMBER(STDEV(AO8:AO18)),STDEV(AO8:AO18),"-")</f>
        <v>0</v>
      </c>
      <c r="AP21" s="782">
        <f>IF(ISNUMBER(STDEV(AP8:AP18)),STDEV(AP8:AP18),"-")</f>
        <v>0.5484944910932591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pKYcp6cLXN+CDCw3jxS/KepM6094B5HtknATqjPafcXNPg9MtcQP0yDUC5pz1UUaZJCPo+Q8i8bfunPaJ6Z4Fg==" saltValue="4VsIDyJOdna82N2cgAK8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221</v>
      </c>
      <c r="B3" s="394" t="str">
        <f>Criterios!A10 &amp;"  "&amp;Criterios!B10</f>
        <v>Provincias  ZARAGOZA</v>
      </c>
      <c r="C3" s="418"/>
      <c r="F3" s="378"/>
      <c r="G3" s="378"/>
      <c r="H3" s="378"/>
    </row>
    <row r="4" spans="1:15" ht="13.5" thickBot="1">
      <c r="A4" s="378"/>
      <c r="B4" s="394" t="str">
        <f>Criterios!A11 &amp;"  "&amp;Criterios!B11</f>
        <v>Resumenes por Partidos Judiciales  EJEA DE LOS CABALLEROS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lOMxHyoz8/H20qxaLfBmfeOmZ1j9MOdyAwBxf+HSSsUBNy7ZQoPnMA2X5a8nSULoQlU6IsgezYsmAzl3s8oMYA==" saltValue="IcunWr4VK09nPqwwhvIK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ZARAGOZA</v>
      </c>
      <c r="C3" s="394"/>
      <c r="D3" s="428"/>
    </row>
    <row r="4" spans="1:9" ht="13.5" thickBot="1">
      <c r="B4" s="394" t="str">
        <f>Criterios!A11 &amp;"  "&amp;Criterios!B11</f>
        <v>Resumenes por Partidos Judiciales  EJEA DE LOS CABALLEROS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62</v>
      </c>
      <c r="E12" s="407">
        <f t="shared" si="0"/>
        <v>31</v>
      </c>
      <c r="F12" s="406">
        <f>IF(ISNUMBER(Datos!N12),Datos!N12," - ")</f>
        <v>93</v>
      </c>
      <c r="G12" s="407">
        <f t="shared" si="1"/>
        <v>46.5</v>
      </c>
      <c r="H12" s="406">
        <f>IF(ISNUMBER(Datos!O12),Datos!O12," - ")</f>
        <v>158</v>
      </c>
      <c r="I12" s="407">
        <f t="shared" si="2"/>
        <v>79</v>
      </c>
    </row>
    <row r="13" spans="1:9" ht="14.25" thickTop="1" thickBot="1">
      <c r="A13" s="851" t="str">
        <f>Datos!A13</f>
        <v>TOTAL</v>
      </c>
      <c r="B13" s="852">
        <f>Datos!AO13</f>
        <v>3</v>
      </c>
      <c r="C13" s="854">
        <f>Datos!AR13</f>
        <v>2</v>
      </c>
      <c r="D13" s="852">
        <f>SUBTOTAL(9,D9:D12)</f>
        <v>62</v>
      </c>
      <c r="E13" s="853">
        <f t="shared" si="0"/>
        <v>20.666666666666668</v>
      </c>
      <c r="F13" s="852">
        <f>SUBTOTAL(9,F9:F12)</f>
        <v>93</v>
      </c>
      <c r="G13" s="853">
        <f t="shared" si="1"/>
        <v>31</v>
      </c>
      <c r="H13" s="852">
        <f>SUBTOTAL(9,H9:H12)</f>
        <v>158</v>
      </c>
      <c r="I13" s="853">
        <f>IF(ISNUMBER(H13/B13),H13/B13," - ")</f>
        <v>52.666666666666664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36</v>
      </c>
      <c r="E16" s="407">
        <f t="shared" si="3"/>
        <v>18</v>
      </c>
      <c r="F16" s="406">
        <f>IF(ISNUMBER(Datos!N16),Datos!N16," - ")</f>
        <v>160</v>
      </c>
      <c r="G16" s="407">
        <f t="shared" si="4"/>
        <v>80</v>
      </c>
      <c r="H16" s="406">
        <f>IF(ISNUMBER(Datos!O16),Datos!O16," - ")</f>
        <v>2</v>
      </c>
      <c r="I16" s="407">
        <f t="shared" si="5"/>
        <v>1</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15</v>
      </c>
      <c r="G17" s="407">
        <f>IF(ISNUMBER(F17/B17),F17/B17," - ")</f>
        <v>15</v>
      </c>
      <c r="H17" s="406">
        <f>IF(ISNUMBER(Datos!O17),Datos!O17," - ")</f>
        <v>0</v>
      </c>
      <c r="I17" s="407">
        <f t="shared" si="5"/>
        <v>0</v>
      </c>
    </row>
    <row r="18" spans="1:9" ht="14.25" thickTop="1" thickBot="1">
      <c r="A18" s="851" t="str">
        <f>Datos!A18</f>
        <v>TOTAL</v>
      </c>
      <c r="B18" s="852">
        <f>Datos!AO18</f>
        <v>3</v>
      </c>
      <c r="C18" s="854">
        <f>Datos!AR18</f>
        <v>2</v>
      </c>
      <c r="D18" s="852">
        <f>SUBTOTAL(9,D15:D17)</f>
        <v>37</v>
      </c>
      <c r="E18" s="853">
        <f t="shared" si="3"/>
        <v>12.333333333333334</v>
      </c>
      <c r="F18" s="852">
        <f>SUBTOTAL(9,F15:F17)</f>
        <v>175</v>
      </c>
      <c r="G18" s="853">
        <f t="shared" si="4"/>
        <v>58.333333333333336</v>
      </c>
      <c r="H18" s="852">
        <f>SUBTOTAL(9,H15:H17)</f>
        <v>2</v>
      </c>
      <c r="I18" s="853">
        <f>IF(ISNUMBER(H18/B18),H18/B18," - ")</f>
        <v>0.66666666666666663</v>
      </c>
    </row>
    <row r="19" spans="1:9" ht="14.25" thickTop="1" thickBot="1">
      <c r="A19" s="796" t="str">
        <f>Datos!A19</f>
        <v>TOTAL JURISDICCIONES</v>
      </c>
      <c r="B19" s="797">
        <f>Datos!AP19</f>
        <v>2</v>
      </c>
      <c r="C19" s="797">
        <f>Datos!AR19</f>
        <v>2</v>
      </c>
      <c r="D19" s="797">
        <f>SUBTOTAL(9,D8:D18)</f>
        <v>99</v>
      </c>
      <c r="E19" s="798">
        <f>IF(ISNUMBER(D19/B19),D19/B19," - ")</f>
        <v>49.5</v>
      </c>
      <c r="F19" s="797">
        <f>SUBTOTAL(9,F8:F18)</f>
        <v>268</v>
      </c>
      <c r="G19" s="798">
        <f>IF(ISNUMBER(F19/B19),F19/B19," - ")</f>
        <v>134</v>
      </c>
      <c r="H19" s="797">
        <f>SUBTOTAL(9,H8:H18)</f>
        <v>160</v>
      </c>
      <c r="I19" s="798">
        <f>IF(ISNUMBER(H19/B19),H19/B19," - ")</f>
        <v>80</v>
      </c>
    </row>
    <row r="22" spans="1:9">
      <c r="A22" s="394" t="str">
        <f>Criterios!A4</f>
        <v>Fecha Informe: 07 mar. 2024</v>
      </c>
    </row>
    <row r="27" spans="1:9">
      <c r="A27" s="417"/>
    </row>
  </sheetData>
  <sheetProtection algorithmName="SHA-512" hashValue="JSbj3Uo26dunm76DrME11plFgWqSnI07xjAP7s/Pd6OBPsblbwbFhtdnU/NMQ/fRZBu11Pzat6NTXdiE0nwUJA==" saltValue="y1wDg086tIypy0TWLbvW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ZARAGOZA</v>
      </c>
    </row>
    <row r="4" spans="1:4" ht="13.5" thickBot="1">
      <c r="B4" s="394" t="str">
        <f>Criterios!A11 &amp;"  "&amp;Criterios!B11</f>
        <v>Resumenes por Partidos Judiciales  EJEA DE LOS CABALLEROS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99</v>
      </c>
      <c r="C12" s="437">
        <f>IF(ISNUMBER(Datos!Q12),Datos!Q12," - ")</f>
        <v>120</v>
      </c>
      <c r="D12" s="411">
        <f>IF(ISNUMBER(Datos!R12),Datos!R12," - ")</f>
        <v>1457</v>
      </c>
    </row>
    <row r="13" spans="1:4" ht="14.25" thickTop="1" thickBot="1">
      <c r="A13" s="851" t="str">
        <f>Datos!A13</f>
        <v>TOTAL</v>
      </c>
      <c r="B13" s="852">
        <f>SUBTOTAL(9,B9:B12)</f>
        <v>99</v>
      </c>
      <c r="C13" s="856">
        <f>SUBTOTAL(9,C9:C12)</f>
        <v>120</v>
      </c>
      <c r="D13" s="854">
        <f>SUBTOTAL(9,D9:D12)</f>
        <v>1457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v>
      </c>
      <c r="C16" s="437">
        <f>IF(ISNUMBER(Datos!Q16),Datos!Q16," - ")</f>
        <v>3</v>
      </c>
      <c r="D16" s="411">
        <f>IF(ISNUMBER(Datos!R16),Datos!R16," - ")</f>
        <v>86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9</v>
      </c>
      <c r="C18" s="856">
        <f>SUBTOTAL(9,C15:C17)</f>
        <v>3</v>
      </c>
      <c r="D18" s="854">
        <f>SUBTOTAL(9,D15:D17)</f>
        <v>86</v>
      </c>
    </row>
    <row r="19" spans="1:4" ht="16.5" customHeight="1" thickTop="1" thickBot="1">
      <c r="A19" s="796" t="str">
        <f>Datos!A19</f>
        <v>TOTAL JURISDICCIONES</v>
      </c>
      <c r="B19" s="801">
        <f>SUBTOTAL(9,B8:B18)</f>
        <v>108</v>
      </c>
      <c r="C19" s="802">
        <f>SUBTOTAL(9,C8:C18)</f>
        <v>123</v>
      </c>
      <c r="D19" s="803">
        <f>SUBTOTAL(9,D8:D18)</f>
        <v>1543</v>
      </c>
    </row>
    <row r="20" spans="1:4" ht="7.5" customHeight="1"/>
    <row r="21" spans="1:4" ht="6" customHeight="1"/>
    <row r="22" spans="1:4">
      <c r="A22" s="394" t="str">
        <f>Criterios!A4</f>
        <v>Fecha Informe: 07 mar. 2024</v>
      </c>
    </row>
    <row r="27" spans="1:4">
      <c r="A27" s="417"/>
    </row>
  </sheetData>
  <sheetProtection algorithmName="SHA-512" hashValue="SiAqa+FZVDF7rHoJhj8UBUDl/pFzct5wsZwwHdLkAAa66k/3fzk/UGXtuwioTA2L42OIOD7fX51yAeeoeMIQyQ==" saltValue="FNyQFmZ2hN27cMctzYSn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ZARAGOZA</v>
      </c>
    </row>
    <row r="4" spans="1:11" ht="10.5" customHeight="1" thickBot="1">
      <c r="B4" s="394" t="str">
        <f>Criterios!A11 &amp;"  "&amp;Criterios!B11</f>
        <v>Resumenes por Partidos Judiciales  EJEA DE LOS CABALLEROS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0.61358313817330212</v>
      </c>
      <c r="C12" s="459">
        <f>IF(ISNUMBER(
   IF(J_V="SI",(Datos!J12-Datos!T12)/Datos!T12,(Datos!J12+Datos!Z12-(Datos!T12+Datos!AH12))/(Datos!T12+Datos!AH12))
     ),IF(J_V="SI",(Datos!J12-Datos!T12)/Datos!T12,(Datos!J12+Datos!Z12-(Datos!T12+Datos!AH12))/(Datos!T12+Datos!AH12))," - ")</f>
        <v>3.1250000000000002E-3</v>
      </c>
      <c r="D12" s="459">
        <f>IF(ISNUMBER(
   IF(J_V="SI",(Datos!K12-Datos!U12)/Datos!U12,(Datos!K12+Datos!AA12-(Datos!U12+Datos!AI12))/(Datos!U12+Datos!AI12))
     ),IF(J_V="SI",(Datos!K12-Datos!U12)/Datos!U12,(Datos!K12+Datos!AA12-(Datos!U12+Datos!AI12))/(Datos!U12+Datos!AI12))," - ")</f>
        <v>0.3110236220472441</v>
      </c>
      <c r="E12" s="459">
        <f>IF(ISNUMBER(
   IF(J_V="SI",(Datos!L12-Datos!V12)/Datos!V12,(Datos!L12+Datos!AB12-(Datos!V12+Datos!AJ12))/(Datos!V12+Datos!AJ12))
     ),IF(J_V="SI",(Datos!L12-Datos!V12)/Datos!V12,(Datos!L12+Datos!AB12-(Datos!V12+Datos!AJ12))/(Datos!V12+Datos!AJ12))," - ")</f>
        <v>0.37322515212981744</v>
      </c>
      <c r="F12" s="459">
        <f>IF(ISNUMBER((Datos!M12-Datos!W12)/Datos!W12),(Datos!M12-Datos!W12)/Datos!W12," - ")</f>
        <v>-6.0606060606060608E-2</v>
      </c>
      <c r="G12" s="460">
        <f>IF(ISNUMBER((Datos!N12-Datos!X12)/Datos!X12),(Datos!N12-Datos!X12)/Datos!X12," - ")</f>
        <v>-1.0638297872340425E-2</v>
      </c>
      <c r="H12" s="458">
        <f>IF(ISNUMBER(((NºAsuntos!G12/NºAsuntos!E12)-Datos!BD12)/Datos!BD12),((NºAsuntos!G12/NºAsuntos!E12)-Datos!BD12)/Datos!BD12," - ")</f>
        <v>0.30693943630877923</v>
      </c>
      <c r="I12" s="459">
        <f>IF(ISNUMBER(((NºAsuntos!I12/NºAsuntos!G12)-Datos!BE12)/Datos!BE12),((NºAsuntos!I12/NºAsuntos!G12)-Datos!BE12)/Datos!BE12," - ")</f>
        <v>4.7445010933854594E-2</v>
      </c>
      <c r="J12" s="464">
        <f>IF(ISNUMBER((('Resol  Asuntos'!D12/NºAsuntos!G12)-Datos!BF12)/Datos!BF12),(('Resol  Asuntos'!D12/NºAsuntos!G12)-Datos!BF12)/Datos!BF12," - ")</f>
        <v>-0.49690115647562461</v>
      </c>
      <c r="K12" s="465">
        <f>IF(ISNUMBER((((NºAsuntos!C12+NºAsuntos!E12)/NºAsuntos!G12)-Datos!BG12)/Datos!BG12),(((NºAsuntos!C12+NºAsuntos!E12)/NºAsuntos!G12)-Datos!BG12)/Datos!BG12," - ")</f>
        <v>3.1312436934926795E-2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0.61358313817330212</v>
      </c>
      <c r="C13" s="858">
        <f>IF(ISNUMBER(
   IF(J_V="SI",(Datos!J13-Datos!T13)/Datos!T13,(Datos!J13+Datos!Z13-(Datos!T13+Datos!AH13))/(Datos!T13+Datos!AH13))
     ),IF(J_V="SI",(Datos!J13-Datos!T13)/Datos!T13,(Datos!J13+Datos!Z13-(Datos!T13+Datos!AH13))/(Datos!T13+Datos!AH13))," - ")</f>
        <v>3.1250000000000002E-3</v>
      </c>
      <c r="D13" s="858">
        <f>IF(ISNUMBER(
   IF(J_V="SI",(Datos!K13-Datos!U13)/Datos!U13,(Datos!K13+Datos!AA13-(Datos!U13+Datos!AI13))/(Datos!U13+Datos!AI13))
     ),IF(J_V="SI",(Datos!K13-Datos!U13)/Datos!U13,(Datos!K13+Datos!AA13-(Datos!U13+Datos!AI13))/(Datos!U13+Datos!AI13))," - ")</f>
        <v>0.3110236220472441</v>
      </c>
      <c r="E13" s="858">
        <f>IF(ISNUMBER(
   IF(J_V="SI",(Datos!L13-Datos!V13)/Datos!V13,(Datos!L13+Datos!AB13-(Datos!V13+Datos!AJ13))/(Datos!V13+Datos!AJ13))
     ),IF(J_V="SI",(Datos!L13-Datos!V13)/Datos!V13,(Datos!L13+Datos!AB13-(Datos!V13+Datos!AJ13))/(Datos!V13+Datos!AJ13))," - ")</f>
        <v>0.37322515212981744</v>
      </c>
      <c r="F13" s="859">
        <f>IF(ISNUMBER((Datos!M13-Datos!W13)/Datos!W13),(Datos!M13-Datos!W13)/Datos!W13," - ")</f>
        <v>-6.0606060606060608E-2</v>
      </c>
      <c r="G13" s="860">
        <f>IF(ISNUMBER((Datos!N13-Datos!X13)/Datos!X13),(Datos!N13-Datos!X13)/Datos!X13," - ")</f>
        <v>-1.0638297872340425E-2</v>
      </c>
      <c r="H13" s="860">
        <f>IF(ISNUMBER(((NºAsuntos!G13/NºAsuntos!E13)-Datos!BD13)/Datos!BD13),((NºAsuntos!G13/NºAsuntos!E13)-Datos!BD13)/Datos!BD13," - ")</f>
        <v>0.30693943630877923</v>
      </c>
      <c r="I13" s="860">
        <f>IF(ISNUMBER(((NºAsuntos!I13/NºAsuntos!G13)-Datos!BE13)/Datos!BE13),((NºAsuntos!I13/NºAsuntos!G13)-Datos!BE13)/Datos!BE13," - ")</f>
        <v>4.7445010933854594E-2</v>
      </c>
      <c r="J13" s="860">
        <f>IF(ISNUMBER((('Resol  Asuntos'!D13/NºAsuntos!G13)-Datos!BF13)/Datos!BF13),(('Resol  Asuntos'!D13/NºAsuntos!G13)-Datos!BF13)/Datos!BF13," - ")</f>
        <v>-0.49690115647562461</v>
      </c>
      <c r="K13" s="860">
        <f>IF(ISNUMBER((((NºAsuntos!C13+NºAsuntos!E13)/NºAsuntos!G13)-Datos!BG13)/Datos!BG13),(((NºAsuntos!C13+NºAsuntos!E13)/NºAsuntos!G13)-Datos!BG13)/Datos!BG13," - ")</f>
        <v>3.1312436934926795E-2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2.0048543689320391</v>
      </c>
      <c r="C16" s="459">
        <f>IF(ISNUMBER(
   IF(D_I="SI",(Datos!J16-Datos!T16)/Datos!T16,(Datos!J16+Datos!AD16-(Datos!T16+Datos!AL16))/(Datos!T16+Datos!AL16))
     ),IF(D_I="SI",(Datos!J16-Datos!T16)/Datos!T16,(Datos!J16+Datos!AD16-(Datos!T16+Datos!AL16))/(Datos!T16+Datos!AL16))," - ")</f>
        <v>0.10306406685236769</v>
      </c>
      <c r="D16" s="459">
        <f>IF(ISNUMBER(
   IF(D_I="SI",(Datos!K16-Datos!U16)/Datos!U16,(Datos!K16+Datos!AE16-(Datos!U16+Datos!AM16))/(Datos!U16+Datos!AM16))
     ),IF(D_I="SI",(Datos!K16-Datos!U16)/Datos!U16,(Datos!K16+Datos!AE16-(Datos!U16+Datos!AM16))/(Datos!U16+Datos!AM16))," - ")</f>
        <v>-4.6012269938650305E-2</v>
      </c>
      <c r="E16" s="459">
        <f>IF(ISNUMBER(
   IF(D_I="SI",(Datos!L16-Datos!V16)/Datos!V16,(Datos!L16+Datos!AF16-(Datos!V16+Datos!AN16))/(Datos!V16+Datos!AN16))
     ),IF(D_I="SI",(Datos!L16-Datos!V16)/Datos!V16,(Datos!L16+Datos!AF16-(Datos!V16+Datos!AN16))/(Datos!V16+Datos!AN16))," - ")</f>
        <v>1.8852459016393444</v>
      </c>
      <c r="F16" s="459">
        <f>IF(ISNUMBER((Datos!M16-Datos!W16)/Datos!W16),(Datos!M16-Datos!W16)/Datos!W16," - ")</f>
        <v>-0.18181818181818182</v>
      </c>
      <c r="G16" s="460">
        <f>IF(ISNUMBER((Datos!N16-Datos!X16)/Datos!X16),(Datos!N16-Datos!X16)/Datos!X16," - ")</f>
        <v>-0.16666666666666666</v>
      </c>
      <c r="H16" s="458">
        <f>IF(ISNUMBER(((NºAsuntos!G16/NºAsuntos!E16)-Datos!BD16)/Datos!BD16),((NºAsuntos!G16/NºAsuntos!E16)-Datos!BD16)/Datos!BD16," - ")</f>
        <v>-0.13514748714135211</v>
      </c>
      <c r="I16" s="459">
        <f>IF(ISNUMBER(((NºAsuntos!I16/NºAsuntos!G16)-Datos!BE16)/Datos!BE16),((NºAsuntos!I16/NºAsuntos!G16)-Datos!BE16)/Datos!BE16," - ")</f>
        <v>2.0244056718148751</v>
      </c>
      <c r="J16" s="464">
        <f>IF(ISNUMBER((('Resol  Asuntos'!D16/NºAsuntos!G16)-Datos!BF16)/Datos!BF16),(('Resol  Asuntos'!D16/NºAsuntos!G16)-Datos!BF16)/Datos!BF16," - ")</f>
        <v>-0.1423560362467115</v>
      </c>
      <c r="K16" s="465">
        <f>IF(ISNUMBER((((NºAsuntos!C16+NºAsuntos!E16)/NºAsuntos!G16)-Datos!BG16)/Datos!BG16),(((NºAsuntos!C16+NºAsuntos!E16)/NºAsuntos!G16)-Datos!BG16)/Datos!BG16," - ")</f>
        <v>0.88310616623509663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6.6</v>
      </c>
      <c r="C17" s="459">
        <f>IF(ISNUMBER(
   IF(D_I="SI",(Datos!J17-Datos!T17)/Datos!T17,(Datos!J17+Datos!AD17-(Datos!T17+Datos!AL17))/(Datos!T17+Datos!AL17))
     ),IF(D_I="SI",(Datos!J17-Datos!T17)/Datos!T17,(Datos!J17+Datos!AD17-(Datos!T17+Datos!AL17))/(Datos!T17+Datos!AL17))," - ")</f>
        <v>-0.23529411764705882</v>
      </c>
      <c r="D17" s="459">
        <f>IF(ISNUMBER(
   IF(D_I="SI",(Datos!K17-Datos!U17)/Datos!U17,(Datos!K17+Datos!AE17-(Datos!U17+Datos!AM17))/(Datos!U17+Datos!AM17))
     ),IF(D_I="SI",(Datos!K17-Datos!U17)/Datos!U17,(Datos!K17+Datos!AE17-(Datos!U17+Datos!AM17))/(Datos!U17+Datos!AM17))," - ")</f>
        <v>0.11764705882352941</v>
      </c>
      <c r="E17" s="459">
        <f>IF(ISNUMBER(
   IF(D_I="SI",(Datos!L17-Datos!V17)/Datos!V17,(Datos!L17+Datos!AF17-(Datos!V17+Datos!AN17))/(Datos!V17+Datos!AN17))
     ),IF(D_I="SI",(Datos!L17-Datos!V17)/Datos!V17,(Datos!L17+Datos!AF17-(Datos!V17+Datos!AN17))/(Datos!V17+Datos!AN17))," - ")</f>
        <v>5.4</v>
      </c>
      <c r="F17" s="459" t="str">
        <f>IF(ISNUMBER((Datos!M17-Datos!W17)/Datos!W17),(Datos!M17-Datos!W17)/Datos!W17," - ")</f>
        <v xml:space="preserve"> - </v>
      </c>
      <c r="G17" s="460">
        <f>IF(ISNUMBER((Datos!N17-Datos!X17)/Datos!X17),(Datos!N17-Datos!X17)/Datos!X17," - ")</f>
        <v>-0.34782608695652173</v>
      </c>
      <c r="H17" s="458">
        <f>IF(ISNUMBER(((NºAsuntos!G17/NºAsuntos!E17)-Datos!BD17)/Datos!BD17),((NºAsuntos!G17/NºAsuntos!E17)-Datos!BD17)/Datos!BD17," - ")</f>
        <v>0.46153846153846145</v>
      </c>
      <c r="I17" s="459">
        <f>IF(ISNUMBER(((NºAsuntos!I17/NºAsuntos!G17)-Datos!BE17)/Datos!BE17),((NºAsuntos!I17/NºAsuntos!G17)-Datos!BE17)/Datos!BE17," - ")</f>
        <v>4.7263157894736834</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1.0741626794258372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2.1137440758293837</v>
      </c>
      <c r="C18" s="858">
        <f>IF(ISNUMBER(
   IF(Criterios!B14="SI",(Datos!J18-Datos!T18)/Datos!T18,(Datos!J18+Datos!AD18-(Datos!T18+Datos!AL18))/(Datos!T18+Datos!AL18))
     ),IF(Criterios!B14="SI",(Datos!J18-Datos!T18)/Datos!T18,(Datos!J18+Datos!AD18-(Datos!T18+Datos!AL18))/(Datos!T18+Datos!AL18))," - ")</f>
        <v>8.7765957446808512E-2</v>
      </c>
      <c r="D18" s="858">
        <f>IF(ISNUMBER(
   IF(Criterios!B14="SI",(Datos!K18-Datos!U18)/Datos!U18,(Datos!K18+Datos!AE18-(Datos!U18+Datos!AM18))/(Datos!U18+Datos!AM18))
     ),IF(Criterios!B14="SI",(Datos!K18-Datos!U18)/Datos!U18,(Datos!K18+Datos!AE18-(Datos!U18+Datos!AM18))/(Datos!U18+Datos!AM18))," - ")</f>
        <v>-3.7900874635568516E-2</v>
      </c>
      <c r="E18" s="858">
        <f>IF(ISNUMBER(
   IF(Criterios!B14="SI",(Datos!L18-Datos!V18)/Datos!V18,(Datos!L18+Datos!AF18-(Datos!V18+Datos!AN18))/(Datos!V18+Datos!AN18))
     ),IF(Criterios!B14="SI",(Datos!L18-Datos!V18)/Datos!V18,(Datos!L18+Datos!AF18-(Datos!V18+Datos!AN18))/(Datos!V18+Datos!AN18))," - ")</f>
        <v>1.9558232931726907</v>
      </c>
      <c r="F18" s="859">
        <f>IF(ISNUMBER((Datos!M18-Datos!W18)/Datos!W18),(Datos!M18-Datos!W18)/Datos!W18," - ")</f>
        <v>-0.15909090909090909</v>
      </c>
      <c r="G18" s="860">
        <f>IF(ISNUMBER((Datos!N18-Datos!X18)/Datos!X18),(Datos!N18-Datos!X18)/Datos!X18," - ")</f>
        <v>-0.18604651162790697</v>
      </c>
      <c r="H18" s="860">
        <f>IF(ISNUMBER(((NºAsuntos!G18/NºAsuntos!E18)-Datos!BD18)/Datos!BD18),((NºAsuntos!G18/NºAsuntos!E18)-Datos!BD18)/Datos!BD18," - ")</f>
        <v>-0.11552745443269864</v>
      </c>
      <c r="I18" s="860">
        <f>IF(ISNUMBER(((NºAsuntos!I18/NºAsuntos!G18)-Datos!BE18)/Datos!BE18),((NºAsuntos!I18/NºAsuntos!G18)-Datos!BE18)/Datos!BE18," - ")</f>
        <v>2.0722648168431301</v>
      </c>
      <c r="J18" s="860">
        <f>IF(ISNUMBER((('Resol  Asuntos'!D18/NºAsuntos!G18)-Datos!BF18)/Datos!BF18),(('Resol  Asuntos'!D18/NºAsuntos!G18)-Datos!BF18)/Datos!BF18," - ")</f>
        <v>-0.12596418732782369</v>
      </c>
      <c r="K18" s="860">
        <f>IF(ISNUMBER((((NºAsuntos!C18+NºAsuntos!E18)/NºAsuntos!G18)-Datos!BG18)/Datos!BG18),(((NºAsuntos!C18+NºAsuntos!E18)/NºAsuntos!G18)-Datos!BG18)/Datos!BG18," - ")</f>
        <v>0.88755355944453052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1.109717868338558</v>
      </c>
      <c r="C19" s="805">
        <f>IF(ISNUMBER(
   IF(J_V="SI",(Datos!J19-Datos!T19)/Datos!T19,(Datos!J19+Datos!Z19-(Datos!T19+Datos!AH19))/(Datos!T19+Datos!AH19))
     ),IF(J_V="SI",(Datos!J19-Datos!T19)/Datos!T19,(Datos!J19+Datos!Z19-(Datos!T19+Datos!AH19))/(Datos!T19+Datos!AH19))," - ")</f>
        <v>4.8850574712643681E-2</v>
      </c>
      <c r="D19" s="805">
        <f>IF(ISNUMBER(
   IF(J_V="SI",(Datos!K19-Datos!U19)/Datos!U19,(Datos!K19+Datos!AA19-(Datos!U19+Datos!AI19))/(Datos!U19+Datos!AI19))
     ),IF(J_V="SI",(Datos!K19-Datos!U19)/Datos!U19,(Datos!K19+Datos!AA19-(Datos!U19+Datos!AI19))/(Datos!U19+Datos!AI19))," - ")</f>
        <v>0.11055276381909548</v>
      </c>
      <c r="E19" s="805">
        <f>IF(ISNUMBER(
   IF(J_V="SI",(Datos!L19-Datos!V19)/Datos!V19,(Datos!L19+Datos!AB19-(Datos!V19+Datos!AJ19))/(Datos!V19+Datos!AJ19))
     ),IF(J_V="SI",(Datos!L19-Datos!V19)/Datos!V19,(Datos!L19+Datos!AB19-(Datos!V19+Datos!AJ19))/(Datos!V19+Datos!AJ19))," - ")</f>
        <v>0.90431266846361191</v>
      </c>
      <c r="F19" s="806">
        <f>IF(ISNUMBER((Datos!M19-Datos!W19)/Datos!W19),(Datos!M19-Datos!W19)/Datos!W19," - ")</f>
        <v>-0.1</v>
      </c>
      <c r="G19" s="807">
        <f>IF(ISNUMBER((Datos!N19-Datos!X19)/Datos!X19),(Datos!N19-Datos!X19)/Datos!X19," - ")</f>
        <v>-0.13268608414239483</v>
      </c>
      <c r="H19" s="808">
        <f>IF(ISNUMBER((Tasas!B19-Datos!BD19)/Datos!BD19),(Tasas!B19-Datos!BD19)/Datos!BD19," - ")</f>
        <v>5.8828388517932158E-2</v>
      </c>
      <c r="I19" s="809">
        <f>IF(ISNUMBER((Tasas!C19-Datos!BE19)/Datos!BE19),(Tasas!C19-Datos!BE19)/Datos!BE19," - ")</f>
        <v>0.71474308155773192</v>
      </c>
      <c r="J19" s="810">
        <f>IF(ISNUMBER((Tasas!D19-Datos!BF19)/Datos!BF19),(Tasas!D19-Datos!BF19)/Datos!BF19," - ")</f>
        <v>-0.35402321463702541</v>
      </c>
      <c r="K19" s="810">
        <f>IF(ISNUMBER((Tasas!E19-Datos!BG19)/Datos!BG19),(Tasas!E19-Datos!BG19)/Datos!BG19," - ")</f>
        <v>0.40130387295040265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iV4xdmE0ICM4G+8k96/vSoxhJ0shIzl92mJ2Fh/3fQW2X7atSkmzBlO6865RKLEkAP+szWlfl/4g88ZXKUq5Q==" saltValue="nUFRqYJUT02yWg3rYbY0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ZARAGOZA</v>
      </c>
    </row>
    <row r="4" spans="1:7" ht="11.25" customHeight="1" thickBot="1">
      <c r="B4" s="394" t="str">
        <f>Criterios!A11 &amp;"  "&amp;Criterios!B11</f>
        <v>Resumenes por Partidos Judiciales  EJEA DE LOS CABALLEROS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1.0373831775700935</v>
      </c>
      <c r="C12" s="446">
        <f>IF(ISNUMBER(NºAsuntos!I12/NºAsuntos!G12),NºAsuntos!I12/NºAsuntos!G12," - ")</f>
        <v>2.0330330330330328</v>
      </c>
      <c r="D12" s="447">
        <f>IF(ISNUMBER('Resol  Asuntos'!D12/NºAsuntos!G12),'Resol  Asuntos'!D12/NºAsuntos!G12," - ")</f>
        <v>0.18618618618618618</v>
      </c>
      <c r="E12" s="448">
        <f>IF(ISNUMBER((NºAsuntos!C12+NºAsuntos!E12)/NºAsuntos!G12),(NºAsuntos!C12+NºAsuntos!E12)/NºAsuntos!G12," - ")</f>
        <v>3.0330330330330328</v>
      </c>
      <c r="G12" s="466"/>
    </row>
    <row r="13" spans="1:7" ht="14.25" thickTop="1" thickBot="1">
      <c r="A13" s="851" t="str">
        <f>Datos!A13</f>
        <v>TOTAL</v>
      </c>
      <c r="B13" s="861">
        <f>IF(ISNUMBER(NºAsuntos!G13/NºAsuntos!E13),NºAsuntos!G13/NºAsuntos!E13," - ")</f>
        <v>1.0373831775700935</v>
      </c>
      <c r="C13" s="862">
        <f>IF(ISNUMBER(NºAsuntos!I13/NºAsuntos!G13),NºAsuntos!I13/NºAsuntos!G13," - ")</f>
        <v>2.0330330330330328</v>
      </c>
      <c r="D13" s="863">
        <f>IF(ISNUMBER('Resol  Asuntos'!D13/NºAsuntos!G13),'Resol  Asuntos'!D13/NºAsuntos!G13," - ")</f>
        <v>0.18618618618618618</v>
      </c>
      <c r="E13" s="864">
        <f>IF(ISNUMBER((NºAsuntos!C13+NºAsuntos!E13)/NºAsuntos!G13),(NºAsuntos!C13+NºAsuntos!E13)/NºAsuntos!G13," - ")</f>
        <v>3.0330330330330328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0.78535353535353536</v>
      </c>
      <c r="C16" s="446">
        <f>IF(ISNUMBER(NºAsuntos!I16/NºAsuntos!G16),NºAsuntos!I16/NºAsuntos!G16," - ")</f>
        <v>2.2636655948553055</v>
      </c>
      <c r="D16" s="447">
        <f>IF(ISNUMBER('Resol  Asuntos'!D16/NºAsuntos!G16),'Resol  Asuntos'!D16/NºAsuntos!G16," - ")</f>
        <v>0.1157556270096463</v>
      </c>
      <c r="E16" s="448">
        <f>IF(ISNUMBER((NºAsuntos!C16+NºAsuntos!E16)/NºAsuntos!G16),(NºAsuntos!C16+NºAsuntos!E16)/NºAsuntos!G16," - ")</f>
        <v>3.2636655948553055</v>
      </c>
      <c r="G16" s="466"/>
    </row>
    <row r="17" spans="1:7" ht="13.5" thickBot="1">
      <c r="A17" s="405" t="str">
        <f>Datos!A17</f>
        <v>Jdos. Violencia contra la mujer</v>
      </c>
      <c r="B17" s="445">
        <f>IF(ISNUMBER(NºAsuntos!G17/NºAsuntos!E17),NºAsuntos!G17/NºAsuntos!E17," - ")</f>
        <v>1.4615384615384615</v>
      </c>
      <c r="C17" s="446">
        <f>IF(ISNUMBER(NºAsuntos!I17/NºAsuntos!G17),NºAsuntos!I17/NºAsuntos!G17," - ")</f>
        <v>1.6842105263157894</v>
      </c>
      <c r="D17" s="447">
        <f>IF(ISNUMBER('Resol  Asuntos'!D17/NºAsuntos!G17),'Resol  Asuntos'!D17/NºAsuntos!G17," - ")</f>
        <v>5.2631578947368418E-2</v>
      </c>
      <c r="E17" s="448">
        <f>IF(ISNUMBER((NºAsuntos!C17+NºAsuntos!E17)/NºAsuntos!G17),(NºAsuntos!C17+NºAsuntos!E17)/NºAsuntos!G17," - ")</f>
        <v>2.6842105263157894</v>
      </c>
      <c r="G17" s="466"/>
    </row>
    <row r="18" spans="1:7" ht="14.25" thickTop="1" thickBot="1">
      <c r="A18" s="851" t="str">
        <f>Datos!A18</f>
        <v>TOTAL</v>
      </c>
      <c r="B18" s="861">
        <f>IF(ISNUMBER(NºAsuntos!G18/NºAsuntos!E18),NºAsuntos!G18/NºAsuntos!E18," - ")</f>
        <v>0.8068459657701712</v>
      </c>
      <c r="C18" s="862">
        <f>IF(ISNUMBER(NºAsuntos!I18/NºAsuntos!G18),NºAsuntos!I18/NºAsuntos!G18," - ")</f>
        <v>2.2303030303030305</v>
      </c>
      <c r="D18" s="865">
        <f>IF(ISNUMBER('Resol  Asuntos'!D18/NºAsuntos!G18),'Resol  Asuntos'!D18/NºAsuntos!G18," - ")</f>
        <v>0.11212121212121212</v>
      </c>
      <c r="E18" s="864">
        <f>IF(ISNUMBER((NºAsuntos!C18+NºAsuntos!E18)/NºAsuntos!G18),(NºAsuntos!C18+NºAsuntos!E18)/NºAsuntos!G18," - ")</f>
        <v>3.2303030303030305</v>
      </c>
      <c r="G18" s="466"/>
    </row>
    <row r="19" spans="1:7" ht="15.75" customHeight="1" thickTop="1" thickBot="1">
      <c r="A19" s="796" t="str">
        <f>Datos!A19</f>
        <v>TOTAL JURISDICCIONES</v>
      </c>
      <c r="B19" s="811">
        <f>IF(ISNUMBER(NºAsuntos!G19/NºAsuntos!E19),NºAsuntos!G19/NºAsuntos!E19," - ")</f>
        <v>0.90821917808219177</v>
      </c>
      <c r="C19" s="812">
        <f>IF(ISNUMBER(NºAsuntos!I19/NºAsuntos!G19),NºAsuntos!I19/NºAsuntos!G19," - ")</f>
        <v>2.1312217194570136</v>
      </c>
      <c r="D19" s="813">
        <f>IF(ISNUMBER('Resol  Asuntos'!D19/NºAsuntos!G19),'Resol  Asuntos'!D19/NºAsuntos!G19," - ")</f>
        <v>0.14932126696832579</v>
      </c>
      <c r="E19" s="814">
        <f>IF(ISNUMBER((NºAsuntos!C19+NºAsuntos!E19)/NºAsuntos!G19),(NºAsuntos!C19+NºAsuntos!E19)/NºAsuntos!G19," - ")</f>
        <v>3.1312217194570136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VVF2SQSsuGzxp7xp0b7Pw8vlop4zBW14IzsKYYrYbYVpWZra9chJndFYoraeUSTiOBBmvc9jnVBHYwNkgEx0bg==" saltValue="SGwunBkbLZKE3lSs1yhE8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ZARAGOZA</v>
      </c>
      <c r="N2" s="265" t="str">
        <f>Criterios!A11 &amp;"  "&amp;Criterios!B11</f>
        <v>Resumenes por Partidos Judiciales  EJEA DE LOS CABALLEROS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120</v>
      </c>
      <c r="Y12" s="337">
        <f t="shared" si="0"/>
        <v>120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1457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62</v>
      </c>
      <c r="AJ12" s="232" t="str">
        <f>IF(ISNUMBER(Datos!BW12),Datos!BW12," - ")</f>
        <v xml:space="preserve"> - </v>
      </c>
      <c r="AK12" s="231" t="str">
        <f>IF(ISNUMBER(Datos!BX12),Datos!BX12," - ")</f>
        <v xml:space="preserve"> - </v>
      </c>
      <c r="AL12" s="246">
        <f>IF(ISNUMBER(NºAsuntos!G12/NºAsuntos!E12),NºAsuntos!G12/NºAsuntos!E12," - ")</f>
        <v>1.0373831775700935</v>
      </c>
      <c r="AM12" s="263">
        <f>IF(ISNUMBER(((NºAsuntos!I12/NºAsuntos!G12)*11)/factor_trimestre),((NºAsuntos!I12/NºAsuntos!G12)*11)/factor_trimestre," - ")</f>
        <v>6.0990990990990994</v>
      </c>
      <c r="AN12" s="247">
        <f>IF(ISNUMBER('Resol  Asuntos'!D12/NºAsuntos!G12),'Resol  Asuntos'!D12/NºAsuntos!G12," - ")</f>
        <v>0.18618618618618618</v>
      </c>
      <c r="AO12" s="248">
        <f>IF(ISNUMBER((NºAsuntos!C12+NºAsuntos!E12)/NºAsuntos!G12),(NºAsuntos!C12+NºAsuntos!E12)/NºAsuntos!G12," - ")</f>
        <v>3.0330330330330328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0</v>
      </c>
      <c r="G13" s="869">
        <f t="shared" si="3"/>
        <v>0</v>
      </c>
      <c r="H13" s="868">
        <f t="shared" si="3"/>
        <v>0</v>
      </c>
      <c r="I13" s="870">
        <f t="shared" si="3"/>
        <v>0</v>
      </c>
      <c r="J13" s="870">
        <f t="shared" si="3"/>
        <v>0</v>
      </c>
      <c r="K13" s="870">
        <f t="shared" si="3"/>
        <v>0</v>
      </c>
      <c r="L13" s="870">
        <f t="shared" si="3"/>
        <v>99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120</v>
      </c>
      <c r="Y13" s="871">
        <f t="shared" si="4"/>
        <v>120</v>
      </c>
      <c r="Z13" s="871">
        <f t="shared" si="4"/>
        <v>0</v>
      </c>
      <c r="AA13" s="871">
        <f t="shared" si="4"/>
        <v>0</v>
      </c>
      <c r="AB13" s="871">
        <f t="shared" si="4"/>
        <v>1457</v>
      </c>
      <c r="AC13" s="871">
        <f t="shared" si="4"/>
        <v>0</v>
      </c>
      <c r="AD13" s="871">
        <f t="shared" si="4"/>
        <v>0</v>
      </c>
      <c r="AE13" s="875">
        <f t="shared" si="4"/>
        <v>0</v>
      </c>
      <c r="AF13" s="868">
        <f t="shared" si="4"/>
        <v>0</v>
      </c>
      <c r="AG13" s="876">
        <f t="shared" si="4"/>
        <v>0</v>
      </c>
      <c r="AH13" s="873">
        <f t="shared" si="4"/>
        <v>0</v>
      </c>
      <c r="AI13" s="868">
        <f t="shared" si="4"/>
        <v>62</v>
      </c>
      <c r="AJ13" s="870">
        <f t="shared" si="4"/>
        <v>0</v>
      </c>
      <c r="AK13" s="873">
        <f>SUBTOTAL(9,AK9:AK12)</f>
        <v>0</v>
      </c>
      <c r="AL13" s="877">
        <f>IF(ISNUMBER(NºAsuntos!G13/NºAsuntos!E13),NºAsuntos!G13/NºAsuntos!E13," - ")</f>
        <v>1.0373831775700935</v>
      </c>
      <c r="AM13" s="877">
        <f>IF(ISNUMBER(((NºAsuntos!I13/NºAsuntos!G13)*11)/factor_trimestre),((NºAsuntos!I13/NºAsuntos!G13)*11)/factor_trimestre," - ")</f>
        <v>6.0990990990990994</v>
      </c>
      <c r="AN13" s="878">
        <f>IF(ISNUMBER('Resol  Asuntos'!D13/NºAsuntos!G13),'Resol  Asuntos'!D13/NºAsuntos!G13," - ")</f>
        <v>0.18618618618618618</v>
      </c>
      <c r="AO13" s="879">
        <f>IF(ISNUMBER((NºAsuntos!C13+NºAsuntos!E13)/NºAsuntos!G13),(NºAsuntos!C13+NºAsuntos!E13)/NºAsuntos!G13," - ")</f>
        <v>3.0330330330330328</v>
      </c>
      <c r="AP13" s="880" t="str">
        <f t="shared" si="2"/>
        <v xml:space="preserve"> - </v>
      </c>
      <c r="AQ13" s="880" t="str">
        <f>IF(ISNUMBER((H13-W13+K13)/(F13)),(H13-W13+K13)/(F13)," - ")</f>
        <v xml:space="preserve"> - </v>
      </c>
      <c r="AR13" s="881">
        <f>IF(ISNUMBER((Datos!P13-Datos!Q13)/(Datos!R13-Datos!P13+Datos!Q13)),(Datos!P13-Datos!Q13)/(Datos!R13-Datos!P13+Datos!Q13)," - ")</f>
        <v>-1.4208389715832206E-2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619</v>
      </c>
      <c r="G16" s="336">
        <f>IF(ISNUMBER(IF(D_I="SI",Datos!I16,Datos!I16+Datos!AC16)),IF(D_I="SI",Datos!I16,Datos!I16+Datos!AC16)," - ")</f>
        <v>619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311</v>
      </c>
      <c r="X16" s="229">
        <f>IF(ISNUMBER(Datos!Q16),Datos!Q16," - ")</f>
        <v>3</v>
      </c>
      <c r="Y16" s="337">
        <f t="shared" ref="Y16:Y17" si="7">SUM(W16:X16)</f>
        <v>314</v>
      </c>
      <c r="Z16" s="338" t="str">
        <f>IF(ISNUMBER(Datos!CC16),Datos!CC16," - ")</f>
        <v xml:space="preserve"> - </v>
      </c>
      <c r="AA16" s="335">
        <f>IF(ISNUMBER(IF(D_I="SI",Datos!L16,Datos!L16+Datos!AF16)),IF(D_I="SI",Datos!L16,Datos!L16+Datos!AF16)," - ")</f>
        <v>704</v>
      </c>
      <c r="AB16" s="337">
        <f>IF(ISNUMBER(Datos!R16),Datos!R16," - ")</f>
        <v>86</v>
      </c>
      <c r="AC16" s="337">
        <f t="shared" si="6"/>
        <v>790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36</v>
      </c>
      <c r="AJ16" s="234" t="str">
        <f>IF(ISNUMBER(Datos!BW16),Datos!BW16," - ")</f>
        <v xml:space="preserve"> - </v>
      </c>
      <c r="AK16" s="235" t="str">
        <f>IF(ISNUMBER(Datos!BX16),Datos!BX16," - ")</f>
        <v xml:space="preserve"> - </v>
      </c>
      <c r="AL16" s="246">
        <f>IF(ISNUMBER(NºAsuntos!G16/NºAsuntos!E16),NºAsuntos!G16/NºAsuntos!E16," - ")</f>
        <v>0.78535353535353536</v>
      </c>
      <c r="AM16" s="263">
        <f>IF(ISNUMBER(((NºAsuntos!I16/NºAsuntos!G16)*11)/factor_trimestre),((NºAsuntos!I16/NºAsuntos!G16)*11)/factor_trimestre," - ")</f>
        <v>6.7909967845659169</v>
      </c>
      <c r="AN16" s="247">
        <f>IF(ISNUMBER('Resol  Asuntos'!D16/NºAsuntos!G16),'Resol  Asuntos'!D16/NºAsuntos!G16," - ")</f>
        <v>0.1157556270096463</v>
      </c>
      <c r="AO16" s="248">
        <f>IF(ISNUMBER((NºAsuntos!C16+NºAsuntos!E16)/NºAsuntos!G16),(NºAsuntos!C16+NºAsuntos!E16)/NºAsuntos!G16," - ")</f>
        <v>3.2636655948553055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19</v>
      </c>
      <c r="X17" s="229">
        <f>IF(ISNUMBER(Datos!Q17),Datos!Q17," - ")</f>
        <v>0</v>
      </c>
      <c r="Y17" s="337">
        <f t="shared" si="7"/>
        <v>19</v>
      </c>
      <c r="Z17" s="338" t="str">
        <f>IF(ISNUMBER(Datos!CC17),Datos!CC17," - ")</f>
        <v xml:space="preserve"> - </v>
      </c>
      <c r="AA17" s="335">
        <f>IF(ISNUMBER(Datos!L17),Datos!L17,"-")</f>
        <v>32</v>
      </c>
      <c r="AB17" s="337">
        <f>IF(ISNUMBER(Datos!R17),Datos!R17," - ")</f>
        <v>0</v>
      </c>
      <c r="AC17" s="337">
        <f t="shared" si="6"/>
        <v>32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1.4615384615384615</v>
      </c>
      <c r="AM17" s="263">
        <f>IF(ISNUMBER(((NºAsuntos!I17/NºAsuntos!G17)*11)/factor_trimestre),((NºAsuntos!I17/NºAsuntos!G17)*11)/factor_trimestre," - ")</f>
        <v>5.052631578947369</v>
      </c>
      <c r="AN17" s="247">
        <f>IF(ISNUMBER('Resol  Asuntos'!D17/NºAsuntos!G17),'Resol  Asuntos'!D17/NºAsuntos!G17," - ")</f>
        <v>5.2631578947368418E-2</v>
      </c>
      <c r="AO17" s="248">
        <f>IF(ISNUMBER((NºAsuntos!C17+NºAsuntos!E17)/NºAsuntos!G17),(NºAsuntos!C17+NºAsuntos!E17)/NºAsuntos!G17," - ")</f>
        <v>2.6842105263157894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619</v>
      </c>
      <c r="G18" s="869">
        <f>SUBTOTAL(9,G15:G17)</f>
        <v>657</v>
      </c>
      <c r="H18" s="868">
        <f t="shared" ref="H18:O18" si="10">SUBTOTAL(9,H14:H17)</f>
        <v>0</v>
      </c>
      <c r="I18" s="870">
        <f t="shared" si="10"/>
        <v>0</v>
      </c>
      <c r="J18" s="870">
        <f t="shared" si="10"/>
        <v>0</v>
      </c>
      <c r="K18" s="870">
        <f t="shared" si="10"/>
        <v>0</v>
      </c>
      <c r="L18" s="870">
        <f t="shared" si="10"/>
        <v>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330</v>
      </c>
      <c r="X18" s="870">
        <f t="shared" si="11"/>
        <v>3</v>
      </c>
      <c r="Y18" s="871">
        <f t="shared" si="11"/>
        <v>333</v>
      </c>
      <c r="Z18" s="871">
        <f t="shared" si="11"/>
        <v>0</v>
      </c>
      <c r="AA18" s="871">
        <f t="shared" si="11"/>
        <v>736</v>
      </c>
      <c r="AB18" s="871">
        <f t="shared" si="11"/>
        <v>86</v>
      </c>
      <c r="AC18" s="871">
        <f t="shared" si="11"/>
        <v>822</v>
      </c>
      <c r="AD18" s="871">
        <f t="shared" si="11"/>
        <v>0</v>
      </c>
      <c r="AE18" s="875">
        <f t="shared" si="11"/>
        <v>0</v>
      </c>
      <c r="AF18" s="868">
        <f t="shared" si="11"/>
        <v>0</v>
      </c>
      <c r="AG18" s="876">
        <f t="shared" si="11"/>
        <v>0</v>
      </c>
      <c r="AH18" s="873">
        <f t="shared" si="11"/>
        <v>0</v>
      </c>
      <c r="AI18" s="868">
        <f t="shared" si="11"/>
        <v>37</v>
      </c>
      <c r="AJ18" s="870">
        <f t="shared" si="11"/>
        <v>0</v>
      </c>
      <c r="AK18" s="873">
        <f t="shared" si="11"/>
        <v>0</v>
      </c>
      <c r="AL18" s="877">
        <f>IF(ISNUMBER(NºAsuntos!G18/NºAsuntos!E18),NºAsuntos!G18/NºAsuntos!E18," - ")</f>
        <v>0.8068459657701712</v>
      </c>
      <c r="AM18" s="877">
        <f>IF(ISNUMBER(((NºAsuntos!I18/NºAsuntos!G18)*11)/factor_trimestre),((NºAsuntos!I18/NºAsuntos!G18)*11)/factor_trimestre," - ")</f>
        <v>6.6909090909090914</v>
      </c>
      <c r="AN18" s="878">
        <f>IF(ISNUMBER('Resol  Asuntos'!D18/NºAsuntos!G18),'Resol  Asuntos'!D18/NºAsuntos!G18," - ")</f>
        <v>0.11212121212121212</v>
      </c>
      <c r="AO18" s="879">
        <f>IF(ISNUMBER((NºAsuntos!C18+NºAsuntos!E18)/NºAsuntos!G18),(NºAsuntos!C18+NºAsuntos!E18)/NºAsuntos!G18," - ")</f>
        <v>3.2303030303030305</v>
      </c>
      <c r="AP18" s="880" t="str">
        <f t="shared" si="2"/>
        <v xml:space="preserve"> - </v>
      </c>
      <c r="AQ18" s="880">
        <f>IF(ISNUMBER((H18-W18+K18)/(F18)),(H18-W18+K18)/(F18)," - ")</f>
        <v>-0.53311793214862679</v>
      </c>
      <c r="AR18" s="881">
        <f>IF(ISNUMBER((Datos!P18-Datos!Q18)/(Datos!R18-Datos!P18+Datos!Q18)),(Datos!P18-Datos!Q18)/(Datos!R18-Datos!P18+Datos!Q18)," - ")</f>
        <v>7.4999999999999997E-2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619</v>
      </c>
      <c r="G19" s="824">
        <f t="shared" si="13"/>
        <v>657</v>
      </c>
      <c r="H19" s="823">
        <f t="shared" si="13"/>
        <v>0</v>
      </c>
      <c r="I19" s="825">
        <f t="shared" si="13"/>
        <v>0</v>
      </c>
      <c r="J19" s="825">
        <f t="shared" si="13"/>
        <v>0</v>
      </c>
      <c r="K19" s="884">
        <f t="shared" si="13"/>
        <v>0</v>
      </c>
      <c r="L19" s="825">
        <f t="shared" si="13"/>
        <v>108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330</v>
      </c>
      <c r="X19" s="824">
        <f t="shared" si="14"/>
        <v>123</v>
      </c>
      <c r="Y19" s="831">
        <f t="shared" si="14"/>
        <v>453</v>
      </c>
      <c r="Z19" s="831">
        <f t="shared" si="14"/>
        <v>0</v>
      </c>
      <c r="AA19" s="831">
        <f t="shared" si="14"/>
        <v>736</v>
      </c>
      <c r="AB19" s="831">
        <f t="shared" si="14"/>
        <v>1543</v>
      </c>
      <c r="AC19" s="831">
        <f t="shared" si="14"/>
        <v>822</v>
      </c>
      <c r="AD19" s="831">
        <f t="shared" si="14"/>
        <v>0</v>
      </c>
      <c r="AE19" s="833">
        <f t="shared" si="14"/>
        <v>0</v>
      </c>
      <c r="AF19" s="834">
        <f t="shared" si="14"/>
        <v>0</v>
      </c>
      <c r="AG19" s="835">
        <f t="shared" si="14"/>
        <v>0</v>
      </c>
      <c r="AH19" s="833">
        <f t="shared" si="14"/>
        <v>0</v>
      </c>
      <c r="AI19" s="823">
        <f t="shared" si="14"/>
        <v>99</v>
      </c>
      <c r="AJ19" s="823">
        <f t="shared" si="14"/>
        <v>0</v>
      </c>
      <c r="AK19" s="833">
        <f t="shared" si="14"/>
        <v>0</v>
      </c>
      <c r="AL19" s="887">
        <f>IF(ISNUMBER(NºAsuntos!G19/NºAsuntos!E19),NºAsuntos!G19/NºAsuntos!E19," - ")</f>
        <v>0.90821917808219177</v>
      </c>
      <c r="AM19" s="888">
        <f>IF(ISNUMBER(((NºAsuntos!I19/NºAsuntos!G19)*11)/factor_trimestre),((NºAsuntos!I19/NºAsuntos!G19)*11)/factor_trimestre," - ")</f>
        <v>6.3936651583710402</v>
      </c>
      <c r="AN19" s="888">
        <f>IF(ISNUMBER('Resol  Asuntos'!D19/NºAsuntos!G19),'Resol  Asuntos'!D19/NºAsuntos!G19," - ")</f>
        <v>0.14932126696832579</v>
      </c>
      <c r="AO19" s="889">
        <f>IF(ISNUMBER((NºAsuntos!C19+NºAsuntos!E19)/NºAsuntos!G19),(NºAsuntos!C19+NºAsuntos!E19)/NºAsuntos!G19," - ")</f>
        <v>3.1312217194570136</v>
      </c>
      <c r="AP19" s="890" t="str">
        <f t="shared" si="2"/>
        <v xml:space="preserve"> - </v>
      </c>
      <c r="AQ19" s="891">
        <f>IF(OR(ISNUMBER(FIND("01",Criterios!A8,1)),ISNUMBER(FIND("02",Criterios!A8,1)),ISNUMBER(FIND("03",Criterios!A8,1)),ISNUMBER(FIND("04",Criterios!A8,1))),(I19-W19+K19)/(F19-K19),(H19-W19+K19)/(F19-K19))</f>
        <v>-0.53311793214862679</v>
      </c>
      <c r="AR19" s="892">
        <f>IF(ISNUMBER((Datos!P19-Datos!Q19)/(Datos!R19-Datos!P19+Datos!Q19)),(Datos!P19-Datos!Q19)/(Datos!R19-Datos!P19+Datos!Q19)," - ")</f>
        <v>-9.6277278562259313E-3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262.8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357.37981662837836</v>
      </c>
      <c r="G21" s="256">
        <f>IF(ISNUMBER(STDEV(G8:G18)),STDEV(G8:G18),"-")</f>
        <v>343.1234471731712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172.38184359148732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27.640549922170507</v>
      </c>
      <c r="AJ21" s="255">
        <f t="shared" si="18"/>
        <v>0</v>
      </c>
      <c r="AK21" s="257">
        <f t="shared" si="18"/>
        <v>0</v>
      </c>
      <c r="AL21" s="252">
        <f t="shared" si="18"/>
        <v>0.27197962662462322</v>
      </c>
      <c r="AM21" s="253">
        <f t="shared" si="18"/>
        <v>0.69151991400509438</v>
      </c>
      <c r="AN21" s="253">
        <f t="shared" si="18"/>
        <v>5.661391401337184E-2</v>
      </c>
      <c r="AO21" s="254">
        <f t="shared" si="18"/>
        <v>0.23050663800169793</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nNG50LvArnJOHC8uL/M+oF4XKTChO1kWi+/o0yM0ljTHzIEtR9962RT34n9H4y1e5rvRotQdZqxixkUZ7fMEOg==" saltValue="br3Ub9wshVLs/6yGgTZ9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ZARAGOZA</v>
      </c>
      <c r="E3" s="266"/>
    </row>
    <row r="4" spans="2:20" ht="17.25" customHeight="1" thickBot="1">
      <c r="D4" s="265" t="str">
        <f>Criterios!A11 &amp;"  "&amp;Criterios!B11</f>
        <v>Resumenes por Partidos Judiciales  EJEA DE LOS CABALLEROS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-6.0606060606060608E-2</v>
      </c>
      <c r="I12" s="353">
        <f>IF(ISNUMBER((Tasas!C12-Datos!BE12)/Datos!BE12),(Tasas!C12-Datos!BE12)/Datos!BE12," - ")</f>
        <v>4.7445010933854594E-2</v>
      </c>
      <c r="J12" s="352">
        <f>IF(ISNUMBER((Tasas!D12-Datos!BF12)/Datos!BF12),(Tasas!D12-Datos!BF12)/Datos!BF12," - ")</f>
        <v>-0.49690115647562461</v>
      </c>
      <c r="K12" s="354">
        <f>IF(ISNUMBER((Tasas!E12-Datos!BG12)/Datos!BG12),(Tasas!E12-Datos!BG12)/Datos!BG12," - ")</f>
        <v>3.1312436934926795E-2</v>
      </c>
      <c r="M12" t="e">
        <f>IF(Monitorios="SI",Datos!CE12,0)</f>
        <v>#REF!</v>
      </c>
      <c r="N12" t="e">
        <f>IF(Monitorios="SI",Datos!CF12,0)</f>
        <v>#REF!</v>
      </c>
      <c r="O12" t="e">
        <f>IF(Monitorios="SI",Datos!CG12,0)</f>
        <v>#REF!</v>
      </c>
      <c r="P12" t="e">
        <f>IF(Monitorios="SI",Datos!CH12,0)</f>
        <v>#REF!</v>
      </c>
      <c r="Q12">
        <f>IF(J_V="SI",0,Datos!AG12)</f>
        <v>70</v>
      </c>
      <c r="R12">
        <f>IF(J_V="SI",0,Datos!AH12)</f>
        <v>14</v>
      </c>
      <c r="S12">
        <f>IF(J_V="SI",0,Datos!AI12)</f>
        <v>26</v>
      </c>
      <c r="T12">
        <f>IF(J_V="SI",0,Datos!AJ12)</f>
        <v>58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-6.0606060606060608E-2</v>
      </c>
      <c r="I13" s="360">
        <f>IF(ISNUMBER((Tasas!C13-Datos!BE13)/Datos!BE13),(Tasas!C13-Datos!BE13)/Datos!BE13," - ")</f>
        <v>4.7445010933854594E-2</v>
      </c>
      <c r="J13" s="358">
        <f>IF(ISNUMBER((Tasas!D13-Datos!BF13)/Datos!BF13),(Tasas!D13-Datos!BF13)/Datos!BF13," - ")</f>
        <v>-0.49690115647562461</v>
      </c>
      <c r="K13" s="361">
        <f>IF(ISNUMBER((Tasas!E13-Datos!BG13)/Datos!BG13),(Tasas!E13-Datos!BG13)/Datos!BG13," - ")</f>
        <v>3.1312436934926795E-2</v>
      </c>
      <c r="M13" t="e">
        <f>IF(Monitorios="SI",Datos!CE13,0)</f>
        <v>#REF!</v>
      </c>
      <c r="N13" t="e">
        <f>IF(Monitorios="SI",Datos!CF13,0)</f>
        <v>#REF!</v>
      </c>
      <c r="O13" t="e">
        <f>IF(Monitorios="SI",Datos!CG13,0)</f>
        <v>#REF!</v>
      </c>
      <c r="P13" t="e">
        <f>IF(Monitorios="SI",Datos!CH13,0)</f>
        <v>#REF!</v>
      </c>
      <c r="Q13">
        <f>IF(J_V="SI",0,Datos!AG13)</f>
        <v>70</v>
      </c>
      <c r="R13">
        <f>IF(J_V="SI",0,Datos!AH13)</f>
        <v>14</v>
      </c>
      <c r="S13">
        <f>IF(J_V="SI",0,Datos!AI13)</f>
        <v>26</v>
      </c>
      <c r="T13">
        <f>IF(J_V="SI",0,Datos!AJ13)</f>
        <v>58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2.0048543689320391</v>
      </c>
      <c r="E16" s="351">
        <f>IF(ISNUMBER(
   IF(D_I="SI",(Datos!J16-Datos!T16)/Datos!T16,(Datos!J16+Datos!AD16-(Datos!T16+Datos!AL16))/(Datos!T16+Datos!AL16))
     ),IF(D_I="SI",(Datos!J16-Datos!T16)/Datos!T16,(Datos!J16+Datos!AD16-(Datos!T16+Datos!AL16))/(Datos!T16+Datos!AL16))," - ")</f>
        <v>0.10306406685236769</v>
      </c>
      <c r="F16" s="351">
        <f>IF(ISNUMBER(
   IF(D_I="SI",(Datos!K16-Datos!U16)/Datos!U16,(Datos!K16+Datos!AE16-(Datos!U16+Datos!AM16))/(Datos!U16+Datos!AM16))
     ),IF(D_I="SI",(Datos!K16-Datos!U16)/Datos!U16,(Datos!K16+Datos!AE16-(Datos!U16+Datos!AM16))/(Datos!U16+Datos!AM16))," - ")</f>
        <v>-4.6012269938650305E-2</v>
      </c>
      <c r="G16" s="352">
        <f>IF(ISNUMBER(
   IF(D_I="SI",(Datos!L16-Datos!V16)/Datos!V16,(Datos!L16+Datos!AF16-(Datos!V16+Datos!AN16))/(Datos!V16+Datos!AN16))
     ),IF(D_I="SI",(Datos!L16-Datos!V16)/Datos!V16,(Datos!L16+Datos!AF16-(Datos!V16+Datos!AN16))/(Datos!V16+Datos!AN16))," - ")</f>
        <v>1.8852459016393444</v>
      </c>
      <c r="H16" s="233">
        <f>IF(ISNUMBER((Datos!M16-Datos!W16)/Datos!W16),(Datos!M16-Datos!W16)/Datos!W16," - ")</f>
        <v>-0.18181818181818182</v>
      </c>
      <c r="I16" s="353">
        <f>IF(ISNUMBER((Tasas!C16-Datos!BE16)/Datos!BE16),(Tasas!C16-Datos!BE16)/Datos!BE16," - ")</f>
        <v>2.0244056718148751</v>
      </c>
      <c r="J16" s="352">
        <f>IF(ISNUMBER((Tasas!D16-Datos!BF16)/Datos!BF16),(Tasas!D16-Datos!BF16)/Datos!BF16," - ")</f>
        <v>-0.1423560362467115</v>
      </c>
      <c r="K16" s="354">
        <f>IF(ISNUMBER((Tasas!E16-Datos!BG16)/Datos!BG16),(Tasas!E16-Datos!BG16)/Datos!BG16," - ")</f>
        <v>0.88310616623509663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6.6</v>
      </c>
      <c r="E17" s="351">
        <f>IF(ISNUMBER(
   IF(D_I="SI",(Datos!J17-Datos!T17)/Datos!T17,(Datos!J17+Datos!AD17-(Datos!T17+Datos!AL17))/(Datos!T17+Datos!AL17))
     ),IF(D_I="SI",(Datos!J17-Datos!T17)/Datos!T17,(Datos!J17+Datos!AD17-(Datos!T17+Datos!AL17))/(Datos!T17+Datos!AL17))," - ")</f>
        <v>-0.23529411764705882</v>
      </c>
      <c r="F17" s="351">
        <f>IF(ISNUMBER(
   IF(D_I="SI",(Datos!K17-Datos!U17)/Datos!U17,(Datos!K17+Datos!AE17-(Datos!U17+Datos!AM17))/(Datos!U17+Datos!AM17))
     ),IF(D_I="SI",(Datos!K17-Datos!U17)/Datos!U17,(Datos!K17+Datos!AE17-(Datos!U17+Datos!AM17))/(Datos!U17+Datos!AM17))," - ")</f>
        <v>0.11764705882352941</v>
      </c>
      <c r="G17" s="352">
        <f>IF(ISNUMBER(
   IF(D_I="SI",(Datos!L17-Datos!V17)/Datos!V17,(Datos!L17+Datos!AF17-(Datos!V17+Datos!AN17))/(Datos!V17+Datos!AN17))
     ),IF(D_I="SI",(Datos!L17-Datos!V17)/Datos!V17,(Datos!L17+Datos!AF17-(Datos!V17+Datos!AN17))/(Datos!V17+Datos!AN17))," - ")</f>
        <v>5.4</v>
      </c>
      <c r="H17" s="233" t="str">
        <f>IF(ISNUMBER((Datos!M17-Datos!W17)/Datos!W17),(Datos!M17-Datos!W17)/Datos!W17," - ")</f>
        <v xml:space="preserve"> - </v>
      </c>
      <c r="I17" s="353">
        <f>IF(ISNUMBER((Tasas!C17-Datos!BE17)/Datos!BE17),(Tasas!C17-Datos!BE17)/Datos!BE17," - ")</f>
        <v>4.7263157894736834</v>
      </c>
      <c r="J17" s="352" t="str">
        <f>IF(ISNUMBER((Tasas!D17-Datos!BF17)/Datos!BF17),(Tasas!D17-Datos!BF17)/Datos!BF17," - ")</f>
        <v xml:space="preserve"> - </v>
      </c>
      <c r="K17" s="354">
        <f>IF(ISNUMBER((Tasas!E17-Datos!BG17)/Datos!BG17),(Tasas!E17-Datos!BG17)/Datos!BG17," - ")</f>
        <v>1.0741626794258372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2.1137440758293837</v>
      </c>
      <c r="E18" s="357">
        <f>IF(ISNUMBER(
   IF(D_I="SI",(Datos!J18-Datos!T18)/Datos!T18,(Datos!J18+Datos!AD18-(Datos!T18+Datos!AL18))/(Datos!T18+Datos!AL18))
     ),IF(D_I="SI",(Datos!J18-Datos!T18)/Datos!T18,(Datos!J18+Datos!AD18-(Datos!T18+Datos!AL18))/(Datos!T18+Datos!AL18))," - ")</f>
        <v>8.7765957446808512E-2</v>
      </c>
      <c r="F18" s="357">
        <f>IF(ISNUMBER(
   IF(D_I="SI",(Datos!K18-Datos!U18)/Datos!U18,(Datos!K18+Datos!AE18-(Datos!U18+Datos!AM18))/(Datos!U18+Datos!AM18))
     ),IF(D_I="SI",(Datos!K18-Datos!U18)/Datos!U18,(Datos!K18+Datos!AE18-(Datos!U18+Datos!AM18))/(Datos!U18+Datos!AM18))," - ")</f>
        <v>-3.7900874635568516E-2</v>
      </c>
      <c r="G18" s="358">
        <f>IF(ISNUMBER(
   IF(D_I="SI",(Datos!L18-Datos!V18)/Datos!V18,(Datos!L18+Datos!AF18-(Datos!V18+Datos!AN18))/(Datos!V18+Datos!AN18))
     ),IF(D_I="SI",(Datos!L18-Datos!V18)/Datos!V18,(Datos!L18+Datos!AF18-(Datos!V18+Datos!AN18))/(Datos!V18+Datos!AN18))," - ")</f>
        <v>1.9558232931726907</v>
      </c>
      <c r="H18" s="359">
        <f>IF(ISNUMBER((Datos!M18-Datos!W18)/Datos!W18),(Datos!M18-Datos!W18)/Datos!W18," - ")</f>
        <v>-0.15909090909090909</v>
      </c>
      <c r="I18" s="360">
        <f>IF(ISNUMBER((Tasas!C18-Datos!BE18)/Datos!BE18),(Tasas!C18-Datos!BE18)/Datos!BE18," - ")</f>
        <v>2.0722648168431301</v>
      </c>
      <c r="J18" s="358">
        <f>IF(ISNUMBER((Tasas!D18-Datos!BF18)/Datos!BF18),(Tasas!D18-Datos!BF18)/Datos!BF18," - ")</f>
        <v>-0.12596418732782369</v>
      </c>
      <c r="K18" s="361">
        <f>IF(ISNUMBER((Tasas!E18-Datos!BG18)/Datos!BG18),(Tasas!E18-Datos!BG18)/Datos!BG18," - ")</f>
        <v>0.88755355944453052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1.109717868338558</v>
      </c>
      <c r="E19" s="366">
        <f>IF(ISNUMBER(
   IF(J_V="SI",(Datos!J19-Datos!T19)/Datos!T19,(Datos!J19+Datos!Z19-(Datos!T19+Datos!AH19))/(Datos!T19+Datos!AH19))
     ),IF(J_V="SI",(Datos!J19-Datos!T19)/Datos!T19,(Datos!J19+Datos!Z19-(Datos!T19+Datos!AH19))/(Datos!T19+Datos!AH19))," - ")</f>
        <v>4.8850574712643681E-2</v>
      </c>
      <c r="F19" s="366">
        <f>IF(ISNUMBER(
   IF(J_V="SI",(Datos!K19-Datos!U19)/Datos!U19,(Datos!K19+Datos!AA19-(Datos!U19+Datos!AI19))/(Datos!U19+Datos!AI19))
     ),IF(J_V="SI",(Datos!K19-Datos!U19)/Datos!U19,(Datos!K19+Datos!AA19-(Datos!U19+Datos!AI19))/(Datos!U19+Datos!AI19))," - ")</f>
        <v>0.11055276381909548</v>
      </c>
      <c r="G19" s="367">
        <f>IF(ISNUMBER(
   IF(J_V="SI",(Datos!L19-Datos!V19)/Datos!V19,(Datos!L19+Datos!AB19-(Datos!V19+Datos!AJ19))/(Datos!V19+Datos!AJ19))
     ),IF(J_V="SI",(Datos!L19-Datos!V19)/Datos!V19,(Datos!L19+Datos!AB19-(Datos!V19+Datos!AJ19))/(Datos!V19+Datos!AJ19))," - ")</f>
        <v>0.90431266846361191</v>
      </c>
      <c r="H19" s="368">
        <f>IF(ISNUMBER((Datos!M19-Datos!W19)/Datos!W19),(Datos!M19-Datos!W19)/Datos!W19," - ")</f>
        <v>-0.1</v>
      </c>
      <c r="I19" s="365">
        <f>IF(ISNUMBER((Tasas!C19-Datos!BE19)/Datos!BE19),(Tasas!C19-Datos!BE19)/Datos!BE19," - ")</f>
        <v>0.71474308155773192</v>
      </c>
      <c r="J19" s="366">
        <f>IF(ISNUMBER((Tasas!D19-Datos!BF19)/Datos!BF19),(Tasas!D19-Datos!BF19)/Datos!BF19," - ")</f>
        <v>-0.35402321463702541</v>
      </c>
      <c r="K19" s="367">
        <f>IF(ISNUMBER((Tasas!E19-Datos!BG19)/Datos!BG19),(Tasas!E19-Datos!BG19)/Datos!BG19," - ")</f>
        <v>0.40130387295040265</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2.6221401105505113</v>
      </c>
      <c r="E21" s="281">
        <f t="shared" si="1"/>
        <v>0.19108815822755199</v>
      </c>
      <c r="F21" s="281">
        <f t="shared" si="1"/>
        <v>9.2236408418843327E-2</v>
      </c>
      <c r="G21" s="282">
        <f t="shared" si="1"/>
        <v>2.009180211263228</v>
      </c>
      <c r="H21" s="288">
        <f t="shared" si="1"/>
        <v>6.4096162356045705E-2</v>
      </c>
      <c r="I21" s="280">
        <f t="shared" si="1"/>
        <v>1.925445354634689</v>
      </c>
      <c r="J21" s="281">
        <f t="shared" si="1"/>
        <v>0.20953552750237078</v>
      </c>
      <c r="K21" s="282">
        <f t="shared" si="1"/>
        <v>0.508125054736974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6L1GUgk8HN9l7fpXzMg+bxi5vJ7vt1ZbUnZqvhvmPmKQhuj/NzqwHtg+i2j8VMvlT/gslq657XuvnsiQjokEew==" saltValue="ctvuOTyjlDx5aJduFZWfL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